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55" windowHeight="87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1" i="1" l="1"/>
  <c r="AY50" i="1"/>
  <c r="AY49" i="1"/>
  <c r="E49" i="1"/>
  <c r="Y48" i="1"/>
  <c r="E48" i="1"/>
  <c r="AY47" i="1"/>
  <c r="E46" i="1"/>
  <c r="AY46" i="1" s="1"/>
  <c r="F45" i="1"/>
  <c r="AY45" i="1" s="1"/>
  <c r="AY44" i="1"/>
  <c r="J43" i="1"/>
  <c r="AY43" i="1" s="1"/>
  <c r="AY42" i="1"/>
  <c r="AY41" i="1"/>
  <c r="N41" i="1"/>
  <c r="O40" i="1"/>
  <c r="N40" i="1"/>
  <c r="E40" i="1"/>
  <c r="E39" i="1"/>
  <c r="AY39" i="1" s="1"/>
  <c r="AY38" i="1"/>
  <c r="AM37" i="1"/>
  <c r="AY37" i="1" s="1"/>
  <c r="E36" i="1"/>
  <c r="AY36" i="1" s="1"/>
  <c r="AY35" i="1"/>
  <c r="AY34" i="1"/>
  <c r="E33" i="1"/>
  <c r="AY33" i="1" s="1"/>
  <c r="AY32" i="1"/>
  <c r="AY31" i="1"/>
  <c r="E30" i="1"/>
  <c r="AY30" i="1" s="1"/>
  <c r="D29" i="1"/>
  <c r="AY29" i="1" s="1"/>
  <c r="AY28" i="1"/>
  <c r="AF27" i="1"/>
  <c r="Z27" i="1"/>
  <c r="E27" i="1"/>
  <c r="AY26" i="1"/>
  <c r="F25" i="1"/>
  <c r="AY25" i="1" s="1"/>
  <c r="E24" i="1"/>
  <c r="AY24" i="1" s="1"/>
  <c r="D23" i="1"/>
  <c r="AY23" i="1" s="1"/>
  <c r="AY22" i="1"/>
  <c r="AY21" i="1"/>
  <c r="L20" i="1"/>
  <c r="AY20" i="1" s="1"/>
  <c r="E19" i="1"/>
  <c r="AY19" i="1" s="1"/>
  <c r="AP18" i="1"/>
  <c r="F18" i="1"/>
  <c r="D18" i="1"/>
  <c r="AY17" i="1"/>
  <c r="J16" i="1"/>
  <c r="F16" i="1"/>
  <c r="AY16" i="1" s="1"/>
  <c r="D16" i="1"/>
  <c r="R15" i="1"/>
  <c r="O15" i="1"/>
  <c r="L15" i="1"/>
  <c r="AQ14" i="1"/>
  <c r="AE14" i="1"/>
  <c r="AA14" i="1"/>
  <c r="X14" i="1"/>
  <c r="V14" i="1"/>
  <c r="T14" i="1"/>
  <c r="S14" i="1"/>
  <c r="R14" i="1"/>
  <c r="O14" i="1"/>
  <c r="K14" i="1"/>
  <c r="AY14" i="1" s="1"/>
  <c r="D13" i="1"/>
  <c r="AY13" i="1" s="1"/>
  <c r="AG12" i="1"/>
  <c r="AB12" i="1"/>
  <c r="U12" i="1"/>
  <c r="Q12" i="1"/>
  <c r="P12" i="1"/>
  <c r="O12" i="1"/>
  <c r="N12" i="1"/>
  <c r="M12" i="1"/>
  <c r="L12" i="1"/>
  <c r="I12" i="1"/>
  <c r="H12" i="1"/>
  <c r="E12" i="1"/>
  <c r="D12" i="1"/>
  <c r="AY12" i="1" s="1"/>
  <c r="D11" i="1"/>
  <c r="AY11" i="1" s="1"/>
  <c r="D10" i="1"/>
  <c r="AY10" i="1" s="1"/>
  <c r="AN9" i="1"/>
  <c r="Y9" i="1"/>
  <c r="G9" i="1"/>
  <c r="F9" i="1"/>
  <c r="D9" i="1"/>
  <c r="F8" i="1"/>
  <c r="D8" i="1"/>
  <c r="AY7" i="1"/>
  <c r="AU6" i="1"/>
  <c r="E6" i="1"/>
  <c r="AY6" i="1" s="1"/>
  <c r="E5" i="1"/>
  <c r="AY5" i="1" s="1"/>
  <c r="E4" i="1"/>
  <c r="AY4" i="1" s="1"/>
  <c r="AY8" i="1" l="1"/>
  <c r="AY9" i="1"/>
  <c r="AY15" i="1"/>
  <c r="AY18" i="1"/>
  <c r="AY27" i="1"/>
  <c r="AY40" i="1"/>
  <c r="AY48" i="1"/>
</calcChain>
</file>

<file path=xl/sharedStrings.xml><?xml version="1.0" encoding="utf-8"?>
<sst xmlns="http://schemas.openxmlformats.org/spreadsheetml/2006/main" count="195" uniqueCount="104">
  <si>
    <t>№</t>
  </si>
  <si>
    <t>Вид животных и наименование продуктов и сырья животного происхождения</t>
  </si>
  <si>
    <t>Ед. изм</t>
  </si>
  <si>
    <t>вывоз</t>
  </si>
  <si>
    <t>КРС</t>
  </si>
  <si>
    <t>гол.</t>
  </si>
  <si>
    <t>МРС</t>
  </si>
  <si>
    <t>тн.</t>
  </si>
  <si>
    <t>Мясо баранина</t>
  </si>
  <si>
    <t>Сыр</t>
  </si>
  <si>
    <t>Шоро</t>
  </si>
  <si>
    <t>Мороженое</t>
  </si>
  <si>
    <t>Колбасные изделия</t>
  </si>
  <si>
    <t>Рыба замороженная и морепродукты</t>
  </si>
  <si>
    <t>шт.</t>
  </si>
  <si>
    <t>Голье шкур КРС</t>
  </si>
  <si>
    <t>Шерсть МРС</t>
  </si>
  <si>
    <t>Корм для непродуктивных животных</t>
  </si>
  <si>
    <t>Корм для рыб</t>
  </si>
  <si>
    <t>Куриные лапки</t>
  </si>
  <si>
    <t>Зерно фуражное</t>
  </si>
  <si>
    <t>Продукты питания</t>
  </si>
  <si>
    <t>Кишки МРС</t>
  </si>
  <si>
    <t>Конские хвосты</t>
  </si>
  <si>
    <t>Субпродукты МРС</t>
  </si>
  <si>
    <t>Шерсть верблюда</t>
  </si>
  <si>
    <t>Говяжьи книжки</t>
  </si>
  <si>
    <t>Вет Блю Шкур КРС</t>
  </si>
  <si>
    <t>Ослы</t>
  </si>
  <si>
    <t>Конские шкуры</t>
  </si>
  <si>
    <t>Кишечное сырьё</t>
  </si>
  <si>
    <t>Пчелиная пыльца</t>
  </si>
  <si>
    <t>Шкуры конские</t>
  </si>
  <si>
    <t>Яки</t>
  </si>
  <si>
    <t>Желчный камень КРС</t>
  </si>
  <si>
    <t>КНР</t>
  </si>
  <si>
    <t>Узбекистан</t>
  </si>
  <si>
    <t>Великобритания</t>
  </si>
  <si>
    <t>Украина</t>
  </si>
  <si>
    <t>Франция</t>
  </si>
  <si>
    <t>Италия</t>
  </si>
  <si>
    <t>Испания</t>
  </si>
  <si>
    <t>Дания</t>
  </si>
  <si>
    <t>Турция</t>
  </si>
  <si>
    <t>Иран</t>
  </si>
  <si>
    <t>Польша</t>
  </si>
  <si>
    <t>Латвия</t>
  </si>
  <si>
    <t>Австрия</t>
  </si>
  <si>
    <t>Чехия</t>
  </si>
  <si>
    <t>США</t>
  </si>
  <si>
    <t>Япония</t>
  </si>
  <si>
    <t>Азербайджан</t>
  </si>
  <si>
    <t>Вьетнам</t>
  </si>
  <si>
    <t>Германия</t>
  </si>
  <si>
    <t>Монголия</t>
  </si>
  <si>
    <t>Венгрия</t>
  </si>
  <si>
    <t>Словакия</t>
  </si>
  <si>
    <t>Индонезия</t>
  </si>
  <si>
    <t>Швейцария</t>
  </si>
  <si>
    <t>Малайзия</t>
  </si>
  <si>
    <t>ОАЭ</t>
  </si>
  <si>
    <t>Грузия</t>
  </si>
  <si>
    <t>Южная Корея</t>
  </si>
  <si>
    <t>Индия</t>
  </si>
  <si>
    <t>ИТОГО</t>
  </si>
  <si>
    <t>Собака</t>
  </si>
  <si>
    <t>Бычий стержень</t>
  </si>
  <si>
    <t>Субпродукты КРС</t>
  </si>
  <si>
    <t>Экспорт в третьи страны за 12 месяцев 2024г.</t>
  </si>
  <si>
    <t>Пакистан</t>
  </si>
  <si>
    <t>Иордания</t>
  </si>
  <si>
    <t>Кувейт</t>
  </si>
  <si>
    <t xml:space="preserve">Катар </t>
  </si>
  <si>
    <t>Канада</t>
  </si>
  <si>
    <t xml:space="preserve">Литва </t>
  </si>
  <si>
    <t>Аргентина</t>
  </si>
  <si>
    <t>Бахрейн</t>
  </si>
  <si>
    <t>Сербия</t>
  </si>
  <si>
    <t>Новая Зеландия</t>
  </si>
  <si>
    <t>Румыния</t>
  </si>
  <si>
    <t>Мексика</t>
  </si>
  <si>
    <t>Таиланд</t>
  </si>
  <si>
    <t>Австралия</t>
  </si>
  <si>
    <t>Саудия</t>
  </si>
  <si>
    <t>Афганистан</t>
  </si>
  <si>
    <t>Оман</t>
  </si>
  <si>
    <t>Португалия</t>
  </si>
  <si>
    <t xml:space="preserve">Лошади </t>
  </si>
  <si>
    <t>Птица Щегол</t>
  </si>
  <si>
    <t>Шкура КРС</t>
  </si>
  <si>
    <t>Шкура Вет Блю КРС</t>
  </si>
  <si>
    <t>Натуральный мёд</t>
  </si>
  <si>
    <t>Охотничий трофей</t>
  </si>
  <si>
    <t>Живые птицы (попугай, голуби, сокол)</t>
  </si>
  <si>
    <t>Курут</t>
  </si>
  <si>
    <t>Баранья черева</t>
  </si>
  <si>
    <t>Кошка</t>
  </si>
  <si>
    <t>Комбикорм</t>
  </si>
  <si>
    <t>Молочные продукты</t>
  </si>
  <si>
    <t>Говяжий жир</t>
  </si>
  <si>
    <t>Сливочное масло</t>
  </si>
  <si>
    <t>Сухое молоко</t>
  </si>
  <si>
    <t>Ветпрепарат</t>
  </si>
  <si>
    <t>Икра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</si>
</sst>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/>
    <xf numFmtId="3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horizontal="right" shrinkToFit="1"/>
    </xf>
    <xf numFmtId="1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right" textRotation="90" shrinkToFit="1"/>
    </xf>
    <xf numFmtId="0" fontId="4" fillId="0" borderId="1" xfId="0" applyNumberFormat="1" applyFont="1" applyFill="1" applyBorder="1" applyAlignment="1">
      <alignment horizontal="right" textRotation="90" wrapText="1"/>
    </xf>
    <xf numFmtId="0" fontId="4" fillId="0" borderId="1" xfId="0" applyNumberFormat="1" applyFont="1" applyFill="1" applyBorder="1" applyAlignment="1">
      <alignment horizontal="right" textRotation="90" shrinkToFit="1"/>
    </xf>
    <xf numFmtId="1" fontId="4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 shrinkToFit="1"/>
    </xf>
    <xf numFmtId="3" fontId="4" fillId="0" borderId="1" xfId="0" applyNumberFormat="1" applyFont="1" applyFill="1" applyBorder="1" applyAlignment="1">
      <alignment horizontal="right" shrinkToFit="1"/>
    </xf>
    <xf numFmtId="3" fontId="1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shrinkToFit="1"/>
    </xf>
    <xf numFmtId="0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 shrinkToFi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 shrinkToFit="1"/>
    </xf>
    <xf numFmtId="164" fontId="2" fillId="0" borderId="1" xfId="0" applyNumberFormat="1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4" fontId="0" fillId="0" borderId="1" xfId="0" applyNumberFormat="1" applyFill="1" applyBorder="1"/>
    <xf numFmtId="164" fontId="0" fillId="0" borderId="1" xfId="0" applyNumberFormat="1" applyFill="1" applyBorder="1"/>
  </cellXfs>
  <cellStyles count="1">
    <cellStyle name="Обычный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1"/>
  <sheetViews>
    <sheetView tabSelected="1" zoomScale="55" zoomScaleNormal="55" workbookViewId="0">
      <selection sqref="A1:AY1"/>
    </sheetView>
  </sheetViews>
  <sheetFormatPr defaultRowHeight="15" x14ac:dyDescent="0.25"/>
  <cols>
    <col min="1" max="1" width="4.28515625" bestFit="1" customWidth="1"/>
    <col min="2" max="2" width="48.28515625" bestFit="1" customWidth="1"/>
    <col min="3" max="3" width="8.42578125" bestFit="1" customWidth="1"/>
    <col min="4" max="5" width="10.140625" bestFit="1" customWidth="1"/>
    <col min="6" max="6" width="11" bestFit="1" customWidth="1"/>
    <col min="7" max="7" width="8.7109375" bestFit="1" customWidth="1"/>
    <col min="8" max="8" width="9.85546875" bestFit="1" customWidth="1"/>
    <col min="9" max="9" width="7.7109375" bestFit="1" customWidth="1"/>
    <col min="10" max="10" width="8" customWidth="1"/>
    <col min="11" max="11" width="7.28515625" bestFit="1" customWidth="1"/>
    <col min="12" max="12" width="11.28515625" bestFit="1" customWidth="1"/>
  </cols>
  <sheetData>
    <row r="1" spans="1:51" ht="15.75" customHeight="1" x14ac:dyDescent="0.25">
      <c r="A1" s="9" t="s">
        <v>68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</row>
    <row r="2" spans="1:51" ht="32.450000000000003" customHeight="1" x14ac:dyDescent="0.25">
      <c r="A2" s="4" t="s">
        <v>0</v>
      </c>
      <c r="B2" s="5" t="s">
        <v>1</v>
      </c>
      <c r="C2" s="6" t="s">
        <v>2</v>
      </c>
      <c r="D2" s="10" t="s">
        <v>35</v>
      </c>
      <c r="E2" s="10" t="s">
        <v>36</v>
      </c>
      <c r="F2" s="10" t="s">
        <v>43</v>
      </c>
      <c r="G2" s="10" t="s">
        <v>69</v>
      </c>
      <c r="H2" s="10" t="s">
        <v>70</v>
      </c>
      <c r="I2" s="10" t="s">
        <v>50</v>
      </c>
      <c r="J2" s="11" t="s">
        <v>52</v>
      </c>
      <c r="K2" s="10" t="s">
        <v>39</v>
      </c>
      <c r="L2" s="10" t="s">
        <v>60</v>
      </c>
      <c r="M2" s="10" t="s">
        <v>71</v>
      </c>
      <c r="N2" s="10" t="s">
        <v>62</v>
      </c>
      <c r="O2" s="10" t="s">
        <v>49</v>
      </c>
      <c r="P2" s="10" t="s">
        <v>72</v>
      </c>
      <c r="Q2" s="10" t="s">
        <v>59</v>
      </c>
      <c r="R2" s="10" t="s">
        <v>73</v>
      </c>
      <c r="S2" s="10" t="s">
        <v>53</v>
      </c>
      <c r="T2" s="10" t="s">
        <v>47</v>
      </c>
      <c r="U2" s="10" t="s">
        <v>37</v>
      </c>
      <c r="V2" s="10" t="s">
        <v>41</v>
      </c>
      <c r="W2" s="10" t="s">
        <v>74</v>
      </c>
      <c r="X2" s="10" t="s">
        <v>48</v>
      </c>
      <c r="Y2" s="10" t="s">
        <v>54</v>
      </c>
      <c r="Z2" s="10" t="s">
        <v>61</v>
      </c>
      <c r="AA2" s="10" t="s">
        <v>75</v>
      </c>
      <c r="AB2" s="10" t="s">
        <v>76</v>
      </c>
      <c r="AC2" s="10" t="s">
        <v>63</v>
      </c>
      <c r="AD2" s="10" t="s">
        <v>42</v>
      </c>
      <c r="AE2" s="10" t="s">
        <v>55</v>
      </c>
      <c r="AF2" s="10" t="s">
        <v>77</v>
      </c>
      <c r="AG2" s="10" t="s">
        <v>51</v>
      </c>
      <c r="AH2" s="10" t="s">
        <v>78</v>
      </c>
      <c r="AI2" s="10" t="s">
        <v>40</v>
      </c>
      <c r="AJ2" s="10" t="s">
        <v>79</v>
      </c>
      <c r="AK2" s="10" t="s">
        <v>45</v>
      </c>
      <c r="AL2" s="10" t="s">
        <v>80</v>
      </c>
      <c r="AM2" s="10" t="s">
        <v>44</v>
      </c>
      <c r="AN2" s="10" t="s">
        <v>38</v>
      </c>
      <c r="AO2" s="10" t="s">
        <v>81</v>
      </c>
      <c r="AP2" s="10" t="s">
        <v>57</v>
      </c>
      <c r="AQ2" s="10" t="s">
        <v>46</v>
      </c>
      <c r="AR2" s="10" t="s">
        <v>82</v>
      </c>
      <c r="AS2" s="10" t="s">
        <v>58</v>
      </c>
      <c r="AT2" s="10" t="s">
        <v>83</v>
      </c>
      <c r="AU2" s="10" t="s">
        <v>84</v>
      </c>
      <c r="AV2" s="10" t="s">
        <v>85</v>
      </c>
      <c r="AW2" s="10" t="s">
        <v>86</v>
      </c>
      <c r="AX2" s="10" t="s">
        <v>56</v>
      </c>
      <c r="AY2" s="12" t="s">
        <v>64</v>
      </c>
    </row>
    <row r="3" spans="1:51" ht="39" x14ac:dyDescent="0.25">
      <c r="A3" s="4"/>
      <c r="B3" s="5"/>
      <c r="C3" s="6"/>
      <c r="D3" s="10" t="s">
        <v>3</v>
      </c>
      <c r="E3" s="10" t="s">
        <v>3</v>
      </c>
      <c r="F3" s="10" t="s">
        <v>3</v>
      </c>
      <c r="G3" s="10" t="s">
        <v>3</v>
      </c>
      <c r="H3" s="10" t="s">
        <v>3</v>
      </c>
      <c r="I3" s="10" t="s">
        <v>3</v>
      </c>
      <c r="J3" s="10" t="s">
        <v>3</v>
      </c>
      <c r="K3" s="10" t="s">
        <v>3</v>
      </c>
      <c r="L3" s="10" t="s">
        <v>3</v>
      </c>
      <c r="M3" s="10" t="s">
        <v>3</v>
      </c>
      <c r="N3" s="10" t="s">
        <v>3</v>
      </c>
      <c r="O3" s="10" t="s">
        <v>3</v>
      </c>
      <c r="P3" s="10" t="s">
        <v>3</v>
      </c>
      <c r="Q3" s="10" t="s">
        <v>3</v>
      </c>
      <c r="R3" s="10" t="s">
        <v>3</v>
      </c>
      <c r="S3" s="10" t="s">
        <v>3</v>
      </c>
      <c r="T3" s="10" t="s">
        <v>3</v>
      </c>
      <c r="U3" s="10" t="s">
        <v>3</v>
      </c>
      <c r="V3" s="10" t="s">
        <v>3</v>
      </c>
      <c r="W3" s="10" t="s">
        <v>3</v>
      </c>
      <c r="X3" s="10" t="s">
        <v>3</v>
      </c>
      <c r="Y3" s="10" t="s">
        <v>3</v>
      </c>
      <c r="Z3" s="10" t="s">
        <v>3</v>
      </c>
      <c r="AA3" s="10" t="s">
        <v>3</v>
      </c>
      <c r="AB3" s="10" t="s">
        <v>3</v>
      </c>
      <c r="AC3" s="10" t="s">
        <v>3</v>
      </c>
      <c r="AD3" s="10" t="s">
        <v>3</v>
      </c>
      <c r="AE3" s="10" t="s">
        <v>3</v>
      </c>
      <c r="AF3" s="10" t="s">
        <v>3</v>
      </c>
      <c r="AG3" s="10" t="s">
        <v>3</v>
      </c>
      <c r="AH3" s="10" t="s">
        <v>3</v>
      </c>
      <c r="AI3" s="10" t="s">
        <v>3</v>
      </c>
      <c r="AJ3" s="10" t="s">
        <v>3</v>
      </c>
      <c r="AK3" s="10" t="s">
        <v>3</v>
      </c>
      <c r="AL3" s="10" t="s">
        <v>3</v>
      </c>
      <c r="AM3" s="10" t="s">
        <v>3</v>
      </c>
      <c r="AN3" s="10" t="s">
        <v>3</v>
      </c>
      <c r="AO3" s="10" t="s">
        <v>3</v>
      </c>
      <c r="AP3" s="10" t="s">
        <v>3</v>
      </c>
      <c r="AQ3" s="10" t="s">
        <v>3</v>
      </c>
      <c r="AR3" s="10" t="s">
        <v>3</v>
      </c>
      <c r="AS3" s="10" t="s">
        <v>3</v>
      </c>
      <c r="AT3" s="10" t="s">
        <v>3</v>
      </c>
      <c r="AU3" s="10" t="s">
        <v>3</v>
      </c>
      <c r="AV3" s="10" t="s">
        <v>3</v>
      </c>
      <c r="AW3" s="10" t="s">
        <v>3</v>
      </c>
      <c r="AX3" s="10" t="s">
        <v>3</v>
      </c>
      <c r="AY3" s="12"/>
    </row>
    <row r="4" spans="1:51" ht="15.75" x14ac:dyDescent="0.25">
      <c r="A4" s="13">
        <v>1</v>
      </c>
      <c r="B4" s="14" t="s">
        <v>4</v>
      </c>
      <c r="C4" s="15" t="s">
        <v>5</v>
      </c>
      <c r="D4" s="16"/>
      <c r="E4" s="16">
        <f>16119+7181+5013+13925+12835+10852+11982+29695+22803+26852+18391+10343</f>
        <v>185991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7">
        <f t="shared" ref="AY4:AY51" si="0">SUM(D4:AX4)</f>
        <v>185991</v>
      </c>
    </row>
    <row r="5" spans="1:51" ht="15.75" x14ac:dyDescent="0.25">
      <c r="A5" s="13">
        <v>2</v>
      </c>
      <c r="B5" s="14" t="s">
        <v>6</v>
      </c>
      <c r="C5" s="15" t="s">
        <v>5</v>
      </c>
      <c r="D5" s="16"/>
      <c r="E5" s="18">
        <f>4491+1140+10603+5764+2428+10799+8729+9979+16459+20622+20450+18572+14833+8878</f>
        <v>153747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7">
        <f t="shared" si="0"/>
        <v>153747</v>
      </c>
    </row>
    <row r="6" spans="1:51" ht="15.75" x14ac:dyDescent="0.25">
      <c r="A6" s="13">
        <v>3</v>
      </c>
      <c r="B6" s="14" t="s">
        <v>87</v>
      </c>
      <c r="C6" s="15" t="s">
        <v>5</v>
      </c>
      <c r="D6" s="16"/>
      <c r="E6" s="16">
        <f>139+40+7+333+51+513+934+654+328+398+559+773+2014+1554+1216</f>
        <v>9513</v>
      </c>
      <c r="F6" s="16">
        <v>2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>
        <v>2</v>
      </c>
      <c r="AR6" s="16"/>
      <c r="AS6" s="16"/>
      <c r="AT6" s="16"/>
      <c r="AU6" s="16">
        <f>13+5+37+5+23</f>
        <v>83</v>
      </c>
      <c r="AV6" s="16"/>
      <c r="AW6" s="16"/>
      <c r="AX6" s="16"/>
      <c r="AY6" s="17">
        <f t="shared" si="0"/>
        <v>9600</v>
      </c>
    </row>
    <row r="7" spans="1:51" ht="15.75" x14ac:dyDescent="0.25">
      <c r="A7" s="13">
        <v>4</v>
      </c>
      <c r="B7" s="14" t="s">
        <v>88</v>
      </c>
      <c r="C7" s="15" t="s">
        <v>5</v>
      </c>
      <c r="D7" s="16"/>
      <c r="E7" s="16">
        <v>1000</v>
      </c>
      <c r="F7" s="16"/>
      <c r="G7" s="16"/>
      <c r="H7" s="16">
        <v>2000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7">
        <f t="shared" si="0"/>
        <v>3000</v>
      </c>
    </row>
    <row r="8" spans="1:51" ht="15.75" x14ac:dyDescent="0.25">
      <c r="A8" s="13">
        <v>5</v>
      </c>
      <c r="B8" s="14" t="s">
        <v>89</v>
      </c>
      <c r="C8" s="15" t="s">
        <v>14</v>
      </c>
      <c r="D8" s="16">
        <f>1730+1970+1200</f>
        <v>4900</v>
      </c>
      <c r="E8" s="16">
        <v>950</v>
      </c>
      <c r="F8" s="16">
        <f>4400+3400+1000+3000+1900+1232+3200</f>
        <v>18132</v>
      </c>
      <c r="G8" s="16"/>
      <c r="H8" s="16"/>
      <c r="I8" s="16"/>
      <c r="J8" s="16">
        <v>2800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7">
        <f t="shared" si="0"/>
        <v>26782</v>
      </c>
    </row>
    <row r="9" spans="1:51" ht="15.75" x14ac:dyDescent="0.25">
      <c r="A9" s="13">
        <v>6</v>
      </c>
      <c r="B9" s="14" t="s">
        <v>90</v>
      </c>
      <c r="C9" s="15" t="s">
        <v>7</v>
      </c>
      <c r="D9" s="3">
        <f>28.4+28.4+25.75+26.15</f>
        <v>108.69999999999999</v>
      </c>
      <c r="E9" s="3">
        <v>2360</v>
      </c>
      <c r="F9" s="3">
        <f>44+21.52+22+22+21.8+44.52+88.1</f>
        <v>263.94</v>
      </c>
      <c r="G9" s="3">
        <f>43.8+22+22+44+87.86+65.35</f>
        <v>285.01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f>83+88.39</f>
        <v>171.39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>
        <f>22+20.48+20.47</f>
        <v>62.95</v>
      </c>
      <c r="AO9" s="3"/>
      <c r="AP9" s="3"/>
      <c r="AQ9" s="3"/>
      <c r="AR9" s="3"/>
      <c r="AS9" s="3"/>
      <c r="AT9" s="3"/>
      <c r="AU9" s="3"/>
      <c r="AV9" s="3"/>
      <c r="AW9" s="3"/>
      <c r="AX9" s="3"/>
      <c r="AY9" s="19">
        <f t="shared" si="0"/>
        <v>3251.9899999999993</v>
      </c>
    </row>
    <row r="10" spans="1:51" ht="15.75" x14ac:dyDescent="0.25">
      <c r="A10" s="13">
        <v>7</v>
      </c>
      <c r="B10" s="14" t="s">
        <v>19</v>
      </c>
      <c r="C10" s="15" t="s">
        <v>7</v>
      </c>
      <c r="D10" s="3">
        <f>96+48+216+192+144+21+144+408+48</f>
        <v>1317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19">
        <f t="shared" si="0"/>
        <v>1317</v>
      </c>
    </row>
    <row r="11" spans="1:51" ht="15.75" x14ac:dyDescent="0.25">
      <c r="A11" s="13">
        <v>8</v>
      </c>
      <c r="B11" s="14" t="s">
        <v>28</v>
      </c>
      <c r="C11" s="15" t="s">
        <v>5</v>
      </c>
      <c r="D11" s="16">
        <f>1904+1000</f>
        <v>2904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7">
        <f t="shared" si="0"/>
        <v>2904</v>
      </c>
    </row>
    <row r="12" spans="1:51" ht="15.75" x14ac:dyDescent="0.25">
      <c r="A12" s="13">
        <v>9</v>
      </c>
      <c r="B12" s="20" t="s">
        <v>91</v>
      </c>
      <c r="C12" s="21" t="s">
        <v>7</v>
      </c>
      <c r="D12" s="3">
        <f>1.45+6+12.69+5.651+1.428+1+3.334+9.993+38.511+3.7</f>
        <v>83.757000000000005</v>
      </c>
      <c r="E12" s="3">
        <f>0.026+21.1+89.4+70.5+16.5</f>
        <v>197.52600000000001</v>
      </c>
      <c r="F12" s="3"/>
      <c r="G12" s="3"/>
      <c r="H12" s="3">
        <f>0.846+1.056</f>
        <v>1.9020000000000001</v>
      </c>
      <c r="I12" s="3">
        <f>1.56+2.19+5+0.265+0.631+2.2+1.13+0.92+0.255+0.313+0.05+0.815+0.697+10.518</f>
        <v>26.544</v>
      </c>
      <c r="J12" s="3"/>
      <c r="K12" s="3"/>
      <c r="L12" s="3">
        <f>5.295+7.64+5.276+5.019+4.7+3.718+4.55+26.662+5.816+20.397+8.518</f>
        <v>97.59099999999998</v>
      </c>
      <c r="M12" s="3">
        <f>4.193+5.465+7.192+0.5+1.8+1.5+1+2.25+2.825</f>
        <v>26.725000000000001</v>
      </c>
      <c r="N12" s="3">
        <f>0.256+0.058+0.576+1.087+0.873+0.154+0.024+0.086+0.168</f>
        <v>3.2819999999999996</v>
      </c>
      <c r="O12" s="3">
        <f>0.51+6.019+1.946+5.4+11.98+0.025+13.98</f>
        <v>39.86</v>
      </c>
      <c r="P12" s="3">
        <f>2.906+0.325+0.475+0.55+0.25+0.3+0.75+0.625+1.25</f>
        <v>7.431</v>
      </c>
      <c r="Q12" s="3">
        <f>0.86+5.28+0.5+0.427+7.1+1+5.28</f>
        <v>20.446999999999999</v>
      </c>
      <c r="R12" s="3">
        <v>9.3710000000000004</v>
      </c>
      <c r="S12" s="3"/>
      <c r="T12" s="3"/>
      <c r="U12" s="3">
        <f>0.023+0.101+0.113</f>
        <v>0.23699999999999999</v>
      </c>
      <c r="V12" s="3"/>
      <c r="W12" s="3"/>
      <c r="X12" s="3"/>
      <c r="Y12" s="3"/>
      <c r="Z12" s="3"/>
      <c r="AA12" s="3"/>
      <c r="AB12" s="3">
        <f>1.488+0.035+0.304+0.93</f>
        <v>2.7570000000000001</v>
      </c>
      <c r="AC12" s="3">
        <v>1.032</v>
      </c>
      <c r="AD12" s="3"/>
      <c r="AE12" s="3"/>
      <c r="AF12" s="3"/>
      <c r="AG12" s="3">
        <f>0.55+4.761</f>
        <v>5.3109999999999999</v>
      </c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>
        <v>0.73099999999999998</v>
      </c>
      <c r="AW12" s="3"/>
      <c r="AX12" s="3"/>
      <c r="AY12" s="19">
        <f t="shared" si="0"/>
        <v>524.50399999999991</v>
      </c>
    </row>
    <row r="13" spans="1:51" ht="15.75" x14ac:dyDescent="0.25">
      <c r="A13" s="13">
        <v>10</v>
      </c>
      <c r="B13" s="14" t="s">
        <v>16</v>
      </c>
      <c r="C13" s="15" t="s">
        <v>7</v>
      </c>
      <c r="D13" s="3">
        <f>43.5+34+3+264.914+71.7+48.291+20.11+93.255+22.876+55.942</f>
        <v>657.58799999999997</v>
      </c>
      <c r="E13" s="3">
        <v>7.4820000000000002</v>
      </c>
      <c r="F13" s="3">
        <v>0.1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>
        <v>0.15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19">
        <f t="shared" si="0"/>
        <v>665.31999999999994</v>
      </c>
    </row>
    <row r="14" spans="1:51" ht="15.75" x14ac:dyDescent="0.25">
      <c r="A14" s="13">
        <v>11</v>
      </c>
      <c r="B14" s="14" t="s">
        <v>92</v>
      </c>
      <c r="C14" s="15" t="s">
        <v>14</v>
      </c>
      <c r="D14" s="16"/>
      <c r="E14" s="16"/>
      <c r="F14" s="16"/>
      <c r="G14" s="16"/>
      <c r="H14" s="16"/>
      <c r="I14" s="16"/>
      <c r="J14" s="16"/>
      <c r="K14" s="16">
        <f>3+3</f>
        <v>6</v>
      </c>
      <c r="L14" s="16"/>
      <c r="M14" s="16"/>
      <c r="N14" s="16"/>
      <c r="O14" s="16">
        <f>2+7+2+5+7+6+12</f>
        <v>41</v>
      </c>
      <c r="P14" s="16"/>
      <c r="Q14" s="16"/>
      <c r="R14" s="16">
        <f>1+4+4+1</f>
        <v>10</v>
      </c>
      <c r="S14" s="16">
        <f>17+1+16+1+2+1+4+2</f>
        <v>44</v>
      </c>
      <c r="T14" s="16">
        <f>3+5+4+9+4+4+3</f>
        <v>32</v>
      </c>
      <c r="U14" s="16">
        <v>2</v>
      </c>
      <c r="V14" s="16">
        <f>1+16+2</f>
        <v>19</v>
      </c>
      <c r="W14" s="16">
        <v>5</v>
      </c>
      <c r="X14" s="16">
        <f>5+2</f>
        <v>7</v>
      </c>
      <c r="Y14" s="16"/>
      <c r="Z14" s="16"/>
      <c r="AA14" s="16">
        <f>1+2</f>
        <v>3</v>
      </c>
      <c r="AB14" s="16"/>
      <c r="AC14" s="16"/>
      <c r="AD14" s="16">
        <v>1</v>
      </c>
      <c r="AE14" s="16">
        <f>2+2</f>
        <v>4</v>
      </c>
      <c r="AF14" s="16">
        <v>8</v>
      </c>
      <c r="AG14" s="16"/>
      <c r="AH14" s="16">
        <v>2</v>
      </c>
      <c r="AI14" s="16">
        <v>2</v>
      </c>
      <c r="AJ14" s="16">
        <v>1</v>
      </c>
      <c r="AK14" s="16">
        <v>2</v>
      </c>
      <c r="AL14" s="16">
        <v>2</v>
      </c>
      <c r="AM14" s="16"/>
      <c r="AN14" s="16"/>
      <c r="AO14" s="16"/>
      <c r="AP14" s="16"/>
      <c r="AQ14" s="16">
        <f>1+4</f>
        <v>5</v>
      </c>
      <c r="AR14" s="16">
        <v>4</v>
      </c>
      <c r="AS14" s="16">
        <v>3</v>
      </c>
      <c r="AT14" s="16"/>
      <c r="AU14" s="16"/>
      <c r="AV14" s="16"/>
      <c r="AW14" s="16">
        <v>1</v>
      </c>
      <c r="AX14" s="16">
        <v>1</v>
      </c>
      <c r="AY14" s="17">
        <f t="shared" si="0"/>
        <v>205</v>
      </c>
    </row>
    <row r="15" spans="1:51" ht="15.75" x14ac:dyDescent="0.25">
      <c r="A15" s="13">
        <v>12</v>
      </c>
      <c r="B15" s="14" t="s">
        <v>66</v>
      </c>
      <c r="C15" s="15" t="s">
        <v>7</v>
      </c>
      <c r="D15" s="3">
        <v>21.635000000000002</v>
      </c>
      <c r="E15" s="3"/>
      <c r="F15" s="3"/>
      <c r="G15" s="3"/>
      <c r="H15" s="3"/>
      <c r="I15" s="3"/>
      <c r="J15" s="3">
        <v>19.149999999999999</v>
      </c>
      <c r="K15" s="3">
        <v>0.2</v>
      </c>
      <c r="L15" s="3">
        <f>1.399+0.46+2.13</f>
        <v>3.9889999999999999</v>
      </c>
      <c r="M15" s="3"/>
      <c r="N15" s="22">
        <v>1.4999999999999999E-2</v>
      </c>
      <c r="O15" s="3">
        <f>0.315+1.444+0.583+0.1+1.13+1.59+0.75+2.782+0.542+0.5+0.94</f>
        <v>10.675999999999998</v>
      </c>
      <c r="P15" s="3"/>
      <c r="Q15" s="3"/>
      <c r="R15" s="3">
        <f>0.3+0.375+1.623+2.512+3.744+3.632+2.306+2+0.37</f>
        <v>16.862000000000002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19">
        <f t="shared" si="0"/>
        <v>72.526999999999987</v>
      </c>
    </row>
    <row r="16" spans="1:51" ht="15.75" x14ac:dyDescent="0.25">
      <c r="A16" s="13">
        <v>13</v>
      </c>
      <c r="B16" s="14" t="s">
        <v>67</v>
      </c>
      <c r="C16" s="15" t="s">
        <v>7</v>
      </c>
      <c r="D16" s="3">
        <f>30+14.7+29.42+29.33+2.6</f>
        <v>106.05</v>
      </c>
      <c r="E16" s="3"/>
      <c r="F16" s="3">
        <f>40.6</f>
        <v>40.6</v>
      </c>
      <c r="G16" s="3"/>
      <c r="H16" s="3"/>
      <c r="I16" s="3"/>
      <c r="J16" s="3">
        <f>87.8+29.2+28.9</f>
        <v>145.9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19">
        <f t="shared" si="0"/>
        <v>292.55</v>
      </c>
    </row>
    <row r="17" spans="1:51" ht="15.75" x14ac:dyDescent="0.25">
      <c r="A17" s="13">
        <v>14</v>
      </c>
      <c r="B17" s="14" t="s">
        <v>29</v>
      </c>
      <c r="C17" s="15" t="s">
        <v>7</v>
      </c>
      <c r="D17" s="3"/>
      <c r="E17" s="3"/>
      <c r="F17" s="3">
        <v>3.65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19">
        <f t="shared" si="0"/>
        <v>3.65</v>
      </c>
    </row>
    <row r="18" spans="1:51" ht="15.75" x14ac:dyDescent="0.25">
      <c r="A18" s="13">
        <v>15</v>
      </c>
      <c r="B18" s="14" t="s">
        <v>15</v>
      </c>
      <c r="C18" s="15" t="s">
        <v>7</v>
      </c>
      <c r="D18" s="3">
        <f>352+2.6+79.8+108</f>
        <v>542.40000000000009</v>
      </c>
      <c r="E18" s="3"/>
      <c r="F18" s="3">
        <f>154+286+242+22+396+440+264+132+43.99</f>
        <v>1979.99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22</v>
      </c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>
        <f>55.02+129.75+51.9+51.9+51.9</f>
        <v>340.46999999999997</v>
      </c>
      <c r="AQ18" s="3"/>
      <c r="AR18" s="3"/>
      <c r="AS18" s="3"/>
      <c r="AT18" s="3"/>
      <c r="AU18" s="3"/>
      <c r="AV18" s="3"/>
      <c r="AW18" s="3"/>
      <c r="AX18" s="3"/>
      <c r="AY18" s="19">
        <f t="shared" si="0"/>
        <v>2884.86</v>
      </c>
    </row>
    <row r="19" spans="1:51" ht="15.75" x14ac:dyDescent="0.25">
      <c r="A19" s="13">
        <v>16</v>
      </c>
      <c r="B19" s="14" t="s">
        <v>93</v>
      </c>
      <c r="C19" s="15" t="s">
        <v>5</v>
      </c>
      <c r="D19" s="16"/>
      <c r="E19" s="16">
        <f>6500+11616</f>
        <v>18116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7">
        <f t="shared" si="0"/>
        <v>18116</v>
      </c>
    </row>
    <row r="20" spans="1:51" ht="15.75" x14ac:dyDescent="0.25">
      <c r="A20" s="13">
        <v>17</v>
      </c>
      <c r="B20" s="14" t="s">
        <v>94</v>
      </c>
      <c r="C20" s="15" t="s">
        <v>7</v>
      </c>
      <c r="D20" s="3">
        <v>0.28000000000000003</v>
      </c>
      <c r="E20" s="3"/>
      <c r="F20" s="3"/>
      <c r="G20" s="3"/>
      <c r="H20" s="3"/>
      <c r="I20" s="3"/>
      <c r="J20" s="3"/>
      <c r="K20" s="3"/>
      <c r="L20" s="3">
        <f>0.057+0.273</f>
        <v>0.33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19">
        <f t="shared" si="0"/>
        <v>0.6100000000000001</v>
      </c>
    </row>
    <row r="21" spans="1:51" ht="15.75" x14ac:dyDescent="0.25">
      <c r="A21" s="13">
        <v>18</v>
      </c>
      <c r="B21" s="14" t="s">
        <v>30</v>
      </c>
      <c r="C21" s="15" t="s">
        <v>7</v>
      </c>
      <c r="D21" s="3">
        <v>30</v>
      </c>
      <c r="E21" s="3"/>
      <c r="F21" s="3">
        <v>22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19">
        <f t="shared" si="0"/>
        <v>52</v>
      </c>
    </row>
    <row r="22" spans="1:51" ht="15.75" x14ac:dyDescent="0.25">
      <c r="A22" s="13">
        <v>19</v>
      </c>
      <c r="B22" s="14" t="s">
        <v>13</v>
      </c>
      <c r="C22" s="15" t="s">
        <v>7</v>
      </c>
      <c r="D22" s="3"/>
      <c r="E22" s="3">
        <v>4.5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19">
        <f t="shared" si="0"/>
        <v>4.5</v>
      </c>
    </row>
    <row r="23" spans="1:51" ht="15.75" x14ac:dyDescent="0.25">
      <c r="A23" s="13">
        <v>20</v>
      </c>
      <c r="B23" s="14" t="s">
        <v>27</v>
      </c>
      <c r="C23" s="15" t="s">
        <v>14</v>
      </c>
      <c r="D23" s="16">
        <f>21396+8916+4880+2000+13000+12540+6040+6040</f>
        <v>74812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7">
        <f t="shared" si="0"/>
        <v>74812</v>
      </c>
    </row>
    <row r="24" spans="1:51" ht="15.75" x14ac:dyDescent="0.25">
      <c r="A24" s="13">
        <v>21</v>
      </c>
      <c r="B24" s="14" t="s">
        <v>65</v>
      </c>
      <c r="C24" s="15" t="s">
        <v>5</v>
      </c>
      <c r="D24" s="16"/>
      <c r="E24" s="16">
        <f>2+17+6+1+5+6+1+1</f>
        <v>39</v>
      </c>
      <c r="F24" s="16">
        <v>1</v>
      </c>
      <c r="G24" s="16"/>
      <c r="H24" s="16"/>
      <c r="I24" s="16"/>
      <c r="J24" s="16">
        <v>2</v>
      </c>
      <c r="K24" s="16"/>
      <c r="L24" s="16"/>
      <c r="M24" s="16"/>
      <c r="N24" s="16"/>
      <c r="O24" s="16">
        <v>2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>
        <v>1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>
        <v>1</v>
      </c>
      <c r="AP24" s="16"/>
      <c r="AQ24" s="16"/>
      <c r="AR24" s="16"/>
      <c r="AS24" s="16"/>
      <c r="AT24" s="16"/>
      <c r="AU24" s="16"/>
      <c r="AV24" s="16"/>
      <c r="AW24" s="16"/>
      <c r="AX24" s="16"/>
      <c r="AY24" s="17">
        <f t="shared" si="0"/>
        <v>46</v>
      </c>
    </row>
    <row r="25" spans="1:51" ht="15.75" x14ac:dyDescent="0.25">
      <c r="A25" s="13">
        <v>22</v>
      </c>
      <c r="B25" s="23" t="s">
        <v>24</v>
      </c>
      <c r="C25" s="23" t="s">
        <v>7</v>
      </c>
      <c r="D25" s="7"/>
      <c r="E25" s="7"/>
      <c r="F25" s="7">
        <f>10+10+7.4+11.85+8.25</f>
        <v>47.5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19">
        <f t="shared" si="0"/>
        <v>47.5</v>
      </c>
    </row>
    <row r="26" spans="1:51" ht="15.75" x14ac:dyDescent="0.25">
      <c r="A26" s="13">
        <v>23</v>
      </c>
      <c r="B26" s="23" t="s">
        <v>95</v>
      </c>
      <c r="C26" s="23" t="s">
        <v>7</v>
      </c>
      <c r="D26" s="7"/>
      <c r="E26" s="7">
        <v>20.9</v>
      </c>
      <c r="F26" s="7">
        <v>21.3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19">
        <f t="shared" si="0"/>
        <v>42.2</v>
      </c>
    </row>
    <row r="27" spans="1:51" ht="15.75" x14ac:dyDescent="0.25">
      <c r="A27" s="13">
        <v>24</v>
      </c>
      <c r="B27" s="23" t="s">
        <v>96</v>
      </c>
      <c r="C27" s="23" t="s">
        <v>5</v>
      </c>
      <c r="D27" s="8"/>
      <c r="E27" s="8">
        <f>1+1+1</f>
        <v>3</v>
      </c>
      <c r="F27" s="8"/>
      <c r="G27" s="8"/>
      <c r="H27" s="8"/>
      <c r="I27" s="8"/>
      <c r="J27" s="8">
        <v>1</v>
      </c>
      <c r="K27" s="8"/>
      <c r="L27" s="8"/>
      <c r="M27" s="8"/>
      <c r="N27" s="8"/>
      <c r="O27" s="8">
        <v>1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>
        <f>1+1+2+2</f>
        <v>6</v>
      </c>
      <c r="AA27" s="8">
        <v>1</v>
      </c>
      <c r="AB27" s="8"/>
      <c r="AC27" s="8"/>
      <c r="AD27" s="8"/>
      <c r="AE27" s="8"/>
      <c r="AF27" s="8">
        <f>1+1</f>
        <v>2</v>
      </c>
      <c r="AG27" s="8"/>
      <c r="AH27" s="8"/>
      <c r="AI27" s="8"/>
      <c r="AJ27" s="8"/>
      <c r="AK27" s="8"/>
      <c r="AL27" s="8"/>
      <c r="AM27" s="8"/>
      <c r="AN27" s="8"/>
      <c r="AO27" s="8">
        <v>2</v>
      </c>
      <c r="AP27" s="8"/>
      <c r="AQ27" s="8"/>
      <c r="AR27" s="8"/>
      <c r="AS27" s="8"/>
      <c r="AT27" s="8"/>
      <c r="AU27" s="8"/>
      <c r="AV27" s="8"/>
      <c r="AW27" s="8"/>
      <c r="AX27" s="8"/>
      <c r="AY27" s="17">
        <f t="shared" si="0"/>
        <v>16</v>
      </c>
    </row>
    <row r="28" spans="1:51" ht="15.75" x14ac:dyDescent="0.25">
      <c r="A28" s="13">
        <v>25</v>
      </c>
      <c r="B28" s="23" t="s">
        <v>97</v>
      </c>
      <c r="C28" s="23" t="s">
        <v>7</v>
      </c>
      <c r="D28" s="7"/>
      <c r="E28" s="7">
        <v>40.655999999999999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19">
        <f t="shared" si="0"/>
        <v>40.655999999999999</v>
      </c>
    </row>
    <row r="29" spans="1:51" ht="15.75" x14ac:dyDescent="0.25">
      <c r="A29" s="13">
        <v>26</v>
      </c>
      <c r="B29" s="23" t="s">
        <v>23</v>
      </c>
      <c r="C29" s="23" t="s">
        <v>7</v>
      </c>
      <c r="D29" s="7">
        <f>27.71+28+26.9+27+26.8</f>
        <v>136.41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>
        <v>9.5000000000000001E-2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19">
        <f t="shared" si="0"/>
        <v>136.505</v>
      </c>
    </row>
    <row r="30" spans="1:51" ht="15.75" x14ac:dyDescent="0.25">
      <c r="A30" s="13">
        <v>27</v>
      </c>
      <c r="B30" s="23" t="s">
        <v>98</v>
      </c>
      <c r="C30" s="23" t="s">
        <v>7</v>
      </c>
      <c r="D30" s="7"/>
      <c r="E30" s="7">
        <f>1.562+37.63+23.584+65.718+38.775+62.9+84.072+106.541+43.547</f>
        <v>464.32899999999995</v>
      </c>
      <c r="F30" s="7"/>
      <c r="G30" s="7"/>
      <c r="H30" s="7"/>
      <c r="I30" s="7"/>
      <c r="J30" s="7"/>
      <c r="K30" s="7"/>
      <c r="L30" s="7"/>
      <c r="M30" s="7"/>
      <c r="N30" s="7">
        <v>0.19700000000000001</v>
      </c>
      <c r="O30" s="7">
        <v>14.282999999999999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19">
        <f t="shared" si="0"/>
        <v>478.80899999999997</v>
      </c>
    </row>
    <row r="31" spans="1:51" ht="15.75" x14ac:dyDescent="0.25">
      <c r="A31" s="13">
        <v>28</v>
      </c>
      <c r="B31" s="23" t="s">
        <v>31</v>
      </c>
      <c r="C31" s="23" t="s">
        <v>7</v>
      </c>
      <c r="D31" s="24"/>
      <c r="E31" s="24"/>
      <c r="F31" s="24"/>
      <c r="G31" s="24"/>
      <c r="H31" s="24"/>
      <c r="I31" s="24">
        <v>1.2999999999999999E-2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5">
        <f t="shared" si="0"/>
        <v>1.2999999999999999E-2</v>
      </c>
    </row>
    <row r="32" spans="1:51" ht="15.75" x14ac:dyDescent="0.25">
      <c r="A32" s="13">
        <v>29</v>
      </c>
      <c r="B32" s="23" t="s">
        <v>12</v>
      </c>
      <c r="C32" s="23" t="s">
        <v>7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>
        <v>0.495</v>
      </c>
      <c r="AC32" s="7"/>
      <c r="AD32" s="7"/>
      <c r="AE32" s="7"/>
      <c r="AF32" s="7"/>
      <c r="AG32" s="7">
        <v>5.0999999999999997E-2</v>
      </c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19">
        <f t="shared" si="0"/>
        <v>0.54600000000000004</v>
      </c>
    </row>
    <row r="33" spans="1:51" ht="15.75" x14ac:dyDescent="0.25">
      <c r="A33" s="13">
        <v>30</v>
      </c>
      <c r="B33" s="23" t="s">
        <v>99</v>
      </c>
      <c r="C33" s="23" t="s">
        <v>7</v>
      </c>
      <c r="D33" s="7"/>
      <c r="E33" s="7">
        <f>20+20</f>
        <v>40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>
        <v>44</v>
      </c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19">
        <f t="shared" si="0"/>
        <v>84</v>
      </c>
    </row>
    <row r="34" spans="1:51" ht="15.75" x14ac:dyDescent="0.25">
      <c r="A34" s="13">
        <v>31</v>
      </c>
      <c r="B34" s="23" t="s">
        <v>11</v>
      </c>
      <c r="C34" s="23" t="s">
        <v>7</v>
      </c>
      <c r="D34" s="7"/>
      <c r="E34" s="7">
        <v>12.731999999999999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19">
        <f t="shared" si="0"/>
        <v>12.731999999999999</v>
      </c>
    </row>
    <row r="35" spans="1:51" ht="15.75" x14ac:dyDescent="0.25">
      <c r="A35" s="13">
        <v>32</v>
      </c>
      <c r="B35" s="23" t="s">
        <v>100</v>
      </c>
      <c r="C35" s="23" t="s">
        <v>7</v>
      </c>
      <c r="D35" s="7"/>
      <c r="E35" s="7">
        <v>3.98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19">
        <f t="shared" si="0"/>
        <v>3.98</v>
      </c>
    </row>
    <row r="36" spans="1:51" ht="15.75" x14ac:dyDescent="0.25">
      <c r="A36" s="13">
        <v>33</v>
      </c>
      <c r="B36" s="23" t="s">
        <v>101</v>
      </c>
      <c r="C36" s="23" t="s">
        <v>7</v>
      </c>
      <c r="D36" s="7"/>
      <c r="E36" s="7">
        <f>22+44+155+66+23+44+112</f>
        <v>466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>
        <v>44</v>
      </c>
      <c r="AV36" s="7"/>
      <c r="AW36" s="7"/>
      <c r="AX36" s="7"/>
      <c r="AY36" s="19">
        <f t="shared" si="0"/>
        <v>510</v>
      </c>
    </row>
    <row r="37" spans="1:51" ht="15.75" x14ac:dyDescent="0.25">
      <c r="A37" s="13">
        <v>34</v>
      </c>
      <c r="B37" s="23" t="s">
        <v>8</v>
      </c>
      <c r="C37" s="23" t="s">
        <v>7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>
        <f>9.86+38.008+33.898+74.8+12</f>
        <v>168.566</v>
      </c>
      <c r="AN37" s="7"/>
      <c r="AO37" s="7"/>
      <c r="AP37" s="7"/>
      <c r="AQ37" s="7"/>
      <c r="AR37" s="7"/>
      <c r="AS37" s="7"/>
      <c r="AT37" s="24">
        <v>5.0000000000000001E-3</v>
      </c>
      <c r="AU37" s="7"/>
      <c r="AV37" s="7"/>
      <c r="AW37" s="7"/>
      <c r="AX37" s="7"/>
      <c r="AY37" s="19">
        <f t="shared" si="0"/>
        <v>168.571</v>
      </c>
    </row>
    <row r="38" spans="1:51" ht="15.75" x14ac:dyDescent="0.25">
      <c r="A38" s="13">
        <v>35</v>
      </c>
      <c r="B38" s="23" t="s">
        <v>18</v>
      </c>
      <c r="C38" s="23" t="s">
        <v>7</v>
      </c>
      <c r="D38" s="26"/>
      <c r="E38" s="26">
        <v>20.8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19">
        <f t="shared" si="0"/>
        <v>20.8</v>
      </c>
    </row>
    <row r="39" spans="1:51" ht="15.75" x14ac:dyDescent="0.25">
      <c r="A39" s="13">
        <v>36</v>
      </c>
      <c r="B39" s="23" t="s">
        <v>21</v>
      </c>
      <c r="C39" s="23" t="s">
        <v>7</v>
      </c>
      <c r="D39" s="26"/>
      <c r="E39" s="26">
        <f>20+40+40</f>
        <v>100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19">
        <f t="shared" si="0"/>
        <v>100</v>
      </c>
    </row>
    <row r="40" spans="1:51" ht="15.75" x14ac:dyDescent="0.25">
      <c r="A40" s="13">
        <v>37</v>
      </c>
      <c r="B40" s="23" t="s">
        <v>10</v>
      </c>
      <c r="C40" s="23" t="s">
        <v>7</v>
      </c>
      <c r="D40" s="26"/>
      <c r="E40" s="26">
        <f>27.124+7.2</f>
        <v>34.323999999999998</v>
      </c>
      <c r="F40" s="26"/>
      <c r="G40" s="26"/>
      <c r="H40" s="26"/>
      <c r="I40" s="26"/>
      <c r="J40" s="26"/>
      <c r="K40" s="26"/>
      <c r="L40" s="26"/>
      <c r="M40" s="26"/>
      <c r="N40" s="26">
        <f>0.589+0.682+0.709+0.12</f>
        <v>2.1</v>
      </c>
      <c r="O40" s="26">
        <f>16.837+18.79+17.91+1.157</f>
        <v>54.693999999999988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19">
        <f t="shared" si="0"/>
        <v>91.117999999999995</v>
      </c>
    </row>
    <row r="41" spans="1:51" ht="15.75" x14ac:dyDescent="0.25">
      <c r="A41" s="13">
        <v>38</v>
      </c>
      <c r="B41" s="23" t="s">
        <v>34</v>
      </c>
      <c r="C41" s="23" t="s">
        <v>7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>
        <f>0.029+0.05</f>
        <v>7.9000000000000001E-2</v>
      </c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19">
        <f t="shared" si="0"/>
        <v>7.9000000000000001E-2</v>
      </c>
    </row>
    <row r="42" spans="1:51" ht="15.75" x14ac:dyDescent="0.25">
      <c r="A42" s="13">
        <v>39</v>
      </c>
      <c r="B42" s="23" t="s">
        <v>33</v>
      </c>
      <c r="C42" s="23" t="s">
        <v>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112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17">
        <f t="shared" si="0"/>
        <v>112</v>
      </c>
    </row>
    <row r="43" spans="1:51" ht="15.75" x14ac:dyDescent="0.25">
      <c r="A43" s="13">
        <v>40</v>
      </c>
      <c r="B43" s="1" t="s">
        <v>26</v>
      </c>
      <c r="C43" s="1" t="s">
        <v>7</v>
      </c>
      <c r="D43" s="26"/>
      <c r="E43" s="26"/>
      <c r="F43" s="26">
        <v>21.9</v>
      </c>
      <c r="G43" s="26"/>
      <c r="H43" s="26"/>
      <c r="I43" s="26"/>
      <c r="J43" s="26">
        <f>29.71+58.8+38.55+87.425+77.84+58.47</f>
        <v>350.79499999999996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19">
        <f t="shared" si="0"/>
        <v>372.69499999999994</v>
      </c>
    </row>
    <row r="44" spans="1:51" ht="15.75" x14ac:dyDescent="0.25">
      <c r="A44" s="13">
        <v>41</v>
      </c>
      <c r="B44" s="23" t="s">
        <v>102</v>
      </c>
      <c r="C44" s="23" t="s">
        <v>7</v>
      </c>
      <c r="D44" s="26"/>
      <c r="E44" s="26">
        <v>1.111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19">
        <f t="shared" si="0"/>
        <v>1.111</v>
      </c>
    </row>
    <row r="45" spans="1:51" ht="15.75" x14ac:dyDescent="0.25">
      <c r="A45" s="13">
        <v>42</v>
      </c>
      <c r="B45" s="23" t="s">
        <v>32</v>
      </c>
      <c r="C45" s="23" t="s">
        <v>14</v>
      </c>
      <c r="D45" s="2"/>
      <c r="E45" s="2">
        <v>1000</v>
      </c>
      <c r="F45" s="2">
        <f>2000+2000</f>
        <v>4000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17">
        <f t="shared" si="0"/>
        <v>5000</v>
      </c>
    </row>
    <row r="46" spans="1:51" ht="15.75" x14ac:dyDescent="0.25">
      <c r="A46" s="13">
        <v>43</v>
      </c>
      <c r="B46" s="23" t="s">
        <v>20</v>
      </c>
      <c r="C46" s="23" t="s">
        <v>7</v>
      </c>
      <c r="D46" s="26"/>
      <c r="E46" s="26">
        <f>80.8+1509.585+3476.37</f>
        <v>5066.7550000000001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19">
        <f t="shared" si="0"/>
        <v>5066.7550000000001</v>
      </c>
    </row>
    <row r="47" spans="1:51" ht="15.75" x14ac:dyDescent="0.25">
      <c r="A47" s="13">
        <v>44</v>
      </c>
      <c r="B47" s="23" t="s">
        <v>22</v>
      </c>
      <c r="C47" s="23" t="s">
        <v>7</v>
      </c>
      <c r="D47" s="26"/>
      <c r="E47" s="26"/>
      <c r="F47" s="26">
        <v>11.6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19">
        <f t="shared" si="0"/>
        <v>11.6</v>
      </c>
    </row>
    <row r="48" spans="1:51" ht="15.75" x14ac:dyDescent="0.25">
      <c r="A48" s="13">
        <v>45</v>
      </c>
      <c r="B48" s="23" t="s">
        <v>17</v>
      </c>
      <c r="C48" s="23" t="s">
        <v>7</v>
      </c>
      <c r="D48" s="26"/>
      <c r="E48" s="26">
        <f>18.198+18.34+36.572</f>
        <v>73.11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>
        <f>18.21+54.295</f>
        <v>72.504999999999995</v>
      </c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19">
        <f t="shared" si="0"/>
        <v>145.61500000000001</v>
      </c>
    </row>
    <row r="49" spans="1:51" ht="15.75" x14ac:dyDescent="0.25">
      <c r="A49" s="13">
        <v>46</v>
      </c>
      <c r="B49" s="27" t="s">
        <v>9</v>
      </c>
      <c r="C49" s="27" t="s">
        <v>7</v>
      </c>
      <c r="D49" s="28"/>
      <c r="E49" s="28">
        <f>40+100</f>
        <v>140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19">
        <f t="shared" si="0"/>
        <v>140</v>
      </c>
    </row>
    <row r="50" spans="1:51" ht="15.75" x14ac:dyDescent="0.25">
      <c r="A50" s="13">
        <v>47</v>
      </c>
      <c r="B50" s="23" t="s">
        <v>103</v>
      </c>
      <c r="C50" s="23" t="s">
        <v>7</v>
      </c>
      <c r="D50" s="29"/>
      <c r="E50" s="29">
        <v>0.02</v>
      </c>
      <c r="F50" s="29"/>
      <c r="G50" s="29"/>
      <c r="H50" s="29"/>
      <c r="I50" s="29"/>
      <c r="J50" s="29"/>
      <c r="K50" s="29"/>
      <c r="L50" s="29"/>
      <c r="M50" s="29"/>
      <c r="N50" s="29"/>
      <c r="O50" s="29">
        <v>0.01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5">
        <f t="shared" si="0"/>
        <v>0.03</v>
      </c>
    </row>
    <row r="51" spans="1:51" ht="15.75" x14ac:dyDescent="0.25">
      <c r="A51" s="13">
        <v>48</v>
      </c>
      <c r="B51" s="23" t="s">
        <v>25</v>
      </c>
      <c r="C51" s="23" t="s">
        <v>7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>
        <v>1.04</v>
      </c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19">
        <f t="shared" si="0"/>
        <v>1.04</v>
      </c>
    </row>
  </sheetData>
  <mergeCells count="5">
    <mergeCell ref="A2:A3"/>
    <mergeCell ref="B2:B3"/>
    <mergeCell ref="C2:C3"/>
    <mergeCell ref="A1:AY1"/>
    <mergeCell ref="AY2:AY3"/>
  </mergeCells>
  <conditionalFormatting sqref="D2:AW2">
    <cfRule type="duplicateValues" dxfId="5" priority="1"/>
  </conditionalFormatting>
  <conditionalFormatting sqref="AY4:AY51">
    <cfRule type="duplicateValues" dxfId="4" priority="2"/>
  </conditionalFormatting>
  <conditionalFormatting sqref="AY4:AY51">
    <cfRule type="duplicateValues" dxfId="3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GVFI</dc:creator>
  <cp:lastModifiedBy>ГИВФБ</cp:lastModifiedBy>
  <dcterms:created xsi:type="dcterms:W3CDTF">2024-10-02T05:02:49Z</dcterms:created>
  <dcterms:modified xsi:type="dcterms:W3CDTF">2025-01-23T05:12:09Z</dcterms:modified>
</cp:coreProperties>
</file>