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анарип\Desktop\Стат отчет\"/>
    </mc:Choice>
  </mc:AlternateContent>
  <xr:revisionPtr revIDLastSave="0" documentId="13_ncr:1_{C855F290-DD7A-4F30-8E0A-AE0A17FF5AC0}" xr6:coauthVersionLast="47" xr6:coauthVersionMax="47" xr10:uidLastSave="{00000000-0000-0000-0000-000000000000}"/>
  <workbookProtection workbookAlgorithmName="SHA-512" workbookHashValue="ZuOaVrTBmfiBDhvk0KJDJZVlhq13nwNwF86nJ69mZa2jmpCi+DhoSJ8dCxudD2btjy7rABLSQ5gUe0gdtA/qog==" workbookSaltValue="BSJ2UdVjEsOR87Mtk7KSyg==" workbookSpinCount="100000" lockStructure="1"/>
  <bookViews>
    <workbookView xWindow="1590" yWindow="2820" windowWidth="21600" windowHeight="11385" firstSheet="19" activeTab="21" xr2:uid="{BE184213-3F78-40F0-8EA8-E1B7875D1AE1}"/>
  </bookViews>
  <sheets>
    <sheet name="Титульный лист" sheetId="23" r:id="rId1"/>
    <sheet name="Содержание " sheetId="25" r:id="rId2"/>
    <sheet name="Вводные положения" sheetId="24" r:id="rId3"/>
    <sheet name="Таблица 1.1.1" sheetId="18" r:id="rId4"/>
    <sheet name="Таблица 1.1.2. " sheetId="1" r:id="rId5"/>
    <sheet name="Таблица 1.1.3" sheetId="2" r:id="rId6"/>
    <sheet name="Таблица 1.2.1" sheetId="3" r:id="rId7"/>
    <sheet name="Таблица 1.2.2" sheetId="19" r:id="rId8"/>
    <sheet name="Таблица 1.2.3 " sheetId="4" r:id="rId9"/>
    <sheet name="Таблица 1.3.1" sheetId="5" r:id="rId10"/>
    <sheet name="Таблица 2.1.1" sheetId="6" r:id="rId11"/>
    <sheet name="Таблица 2.1.2" sheetId="7" r:id="rId12"/>
    <sheet name="Таблица 2.2.1. " sheetId="8" r:id="rId13"/>
    <sheet name="Таблица 2.3.1. " sheetId="9" r:id="rId14"/>
    <sheet name="Таблица 3.1" sheetId="10" r:id="rId15"/>
    <sheet name="Таблица 3.2.  " sheetId="11" r:id="rId16"/>
    <sheet name="Таблица 4.1" sheetId="12" r:id="rId17"/>
    <sheet name="Таблица 4.2" sheetId="13" r:id="rId18"/>
    <sheet name="Таблица 5.1. " sheetId="14" r:id="rId19"/>
    <sheet name="Таблица 6.1" sheetId="15" r:id="rId20"/>
    <sheet name="Таблица 7.1" sheetId="16" r:id="rId21"/>
    <sheet name="Таблица 8.1" sheetId="17" r:id="rId2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7" l="1"/>
  <c r="J7" i="17"/>
  <c r="J8" i="17"/>
  <c r="J9" i="17"/>
  <c r="J10" i="17"/>
  <c r="J11" i="17"/>
  <c r="F12" i="17"/>
  <c r="I12" i="17"/>
  <c r="E12" i="17"/>
  <c r="E17" i="2" l="1"/>
  <c r="F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F7" i="1"/>
  <c r="E7" i="1"/>
  <c r="F22" i="18"/>
  <c r="E22" i="18"/>
  <c r="F21" i="18"/>
  <c r="E21" i="18"/>
  <c r="F20" i="18"/>
  <c r="E20" i="18"/>
  <c r="F19" i="18"/>
  <c r="E19" i="18"/>
  <c r="F18" i="18"/>
  <c r="E18" i="18"/>
  <c r="F17" i="18"/>
  <c r="E17" i="18"/>
  <c r="F16" i="18"/>
  <c r="E16" i="18"/>
  <c r="F15" i="18"/>
  <c r="E15" i="18"/>
  <c r="F14" i="18"/>
  <c r="E14" i="18"/>
  <c r="F13" i="18"/>
  <c r="E13" i="18"/>
  <c r="F12" i="18"/>
  <c r="E12" i="18"/>
  <c r="F11" i="18"/>
  <c r="E11" i="18"/>
  <c r="F10" i="18"/>
  <c r="E10" i="18"/>
  <c r="F9" i="18"/>
  <c r="E9" i="18"/>
  <c r="F8" i="18"/>
  <c r="E8" i="18"/>
  <c r="F7" i="18"/>
  <c r="E7" i="18"/>
  <c r="I155" i="18"/>
  <c r="J155" i="18"/>
  <c r="J242" i="18"/>
  <c r="I242" i="18"/>
  <c r="J241" i="18"/>
  <c r="I241" i="18"/>
  <c r="J240" i="18"/>
  <c r="I240" i="18"/>
  <c r="J239" i="18"/>
  <c r="I239" i="18"/>
  <c r="J238" i="18"/>
  <c r="I238" i="18"/>
  <c r="J237" i="18"/>
  <c r="I237" i="18"/>
  <c r="J236" i="18"/>
  <c r="I236" i="18"/>
  <c r="J235" i="18"/>
  <c r="I235" i="18"/>
  <c r="J234" i="18"/>
  <c r="I234" i="18"/>
  <c r="J233" i="18"/>
  <c r="I233" i="18"/>
  <c r="J232" i="18"/>
  <c r="I232" i="18"/>
  <c r="J231" i="18"/>
  <c r="I231" i="18"/>
  <c r="J230" i="18"/>
  <c r="I230" i="18"/>
  <c r="J229" i="18"/>
  <c r="I229" i="18"/>
  <c r="J228" i="18"/>
  <c r="I228" i="18"/>
  <c r="J227" i="18"/>
  <c r="I227" i="18"/>
  <c r="F242" i="18"/>
  <c r="E242" i="18"/>
  <c r="F241" i="18"/>
  <c r="E241" i="18"/>
  <c r="F240" i="18"/>
  <c r="E240" i="18"/>
  <c r="F239" i="18"/>
  <c r="E239" i="18"/>
  <c r="F238" i="18"/>
  <c r="E238" i="18"/>
  <c r="F237" i="18"/>
  <c r="E237" i="18"/>
  <c r="F236" i="18"/>
  <c r="E236" i="18"/>
  <c r="F235" i="18"/>
  <c r="E235" i="18"/>
  <c r="F234" i="18"/>
  <c r="E234" i="18"/>
  <c r="F233" i="18"/>
  <c r="E233" i="18"/>
  <c r="F232" i="18"/>
  <c r="E232" i="18"/>
  <c r="F231" i="18"/>
  <c r="E231" i="18"/>
  <c r="F230" i="18"/>
  <c r="E230" i="18"/>
  <c r="F229" i="18"/>
  <c r="E229" i="18"/>
  <c r="F228" i="18"/>
  <c r="E228" i="18"/>
  <c r="F227" i="18"/>
  <c r="E227" i="18"/>
  <c r="J220" i="18"/>
  <c r="I220" i="18"/>
  <c r="J219" i="18"/>
  <c r="I219" i="18"/>
  <c r="J218" i="18"/>
  <c r="I218" i="18"/>
  <c r="J217" i="18"/>
  <c r="I217" i="18"/>
  <c r="J216" i="18"/>
  <c r="I216" i="18"/>
  <c r="J215" i="18"/>
  <c r="I215" i="18"/>
  <c r="J214" i="18"/>
  <c r="I214" i="18"/>
  <c r="J213" i="18"/>
  <c r="I213" i="18"/>
  <c r="J212" i="18"/>
  <c r="I212" i="18"/>
  <c r="J211" i="18"/>
  <c r="I211" i="18"/>
  <c r="J210" i="18"/>
  <c r="I210" i="18"/>
  <c r="J209" i="18"/>
  <c r="I209" i="18"/>
  <c r="J208" i="18"/>
  <c r="I208" i="18"/>
  <c r="J207" i="18"/>
  <c r="I207" i="18"/>
  <c r="J206" i="18"/>
  <c r="I206" i="18"/>
  <c r="J205" i="18"/>
  <c r="I205" i="18"/>
  <c r="F220" i="18"/>
  <c r="E220" i="18"/>
  <c r="F219" i="18"/>
  <c r="E219" i="18"/>
  <c r="F218" i="18"/>
  <c r="E218" i="18"/>
  <c r="F217" i="18"/>
  <c r="E217" i="18"/>
  <c r="F216" i="18"/>
  <c r="E216" i="18"/>
  <c r="F215" i="18"/>
  <c r="E215" i="18"/>
  <c r="F214" i="18"/>
  <c r="E214" i="18"/>
  <c r="F213" i="18"/>
  <c r="E213" i="18"/>
  <c r="F212" i="18"/>
  <c r="E212" i="18"/>
  <c r="F211" i="18"/>
  <c r="E211" i="18"/>
  <c r="F210" i="18"/>
  <c r="E210" i="18"/>
  <c r="F209" i="18"/>
  <c r="E209" i="18"/>
  <c r="F208" i="18"/>
  <c r="E208" i="18"/>
  <c r="F207" i="18"/>
  <c r="E207" i="18"/>
  <c r="F206" i="18"/>
  <c r="E206" i="18"/>
  <c r="F205" i="18"/>
  <c r="E205" i="18"/>
  <c r="J198" i="18"/>
  <c r="I198" i="18"/>
  <c r="J197" i="18"/>
  <c r="I197" i="18"/>
  <c r="J196" i="18"/>
  <c r="I196" i="18"/>
  <c r="J195" i="18"/>
  <c r="I195" i="18"/>
  <c r="J194" i="18"/>
  <c r="I194" i="18"/>
  <c r="J193" i="18"/>
  <c r="I193" i="18"/>
  <c r="J192" i="18"/>
  <c r="I192" i="18"/>
  <c r="J191" i="18"/>
  <c r="I191" i="18"/>
  <c r="J190" i="18"/>
  <c r="I190" i="18"/>
  <c r="J189" i="18"/>
  <c r="I189" i="18"/>
  <c r="J188" i="18"/>
  <c r="I188" i="18"/>
  <c r="J187" i="18"/>
  <c r="I187" i="18"/>
  <c r="J186" i="18"/>
  <c r="I186" i="18"/>
  <c r="J185" i="18"/>
  <c r="I185" i="18"/>
  <c r="J184" i="18"/>
  <c r="I184" i="18"/>
  <c r="J183" i="18"/>
  <c r="I183" i="18"/>
  <c r="F198" i="18"/>
  <c r="E198" i="18"/>
  <c r="F197" i="18"/>
  <c r="E197" i="18"/>
  <c r="F196" i="18"/>
  <c r="E196" i="18"/>
  <c r="F195" i="18"/>
  <c r="E195" i="18"/>
  <c r="F194" i="18"/>
  <c r="E194" i="18"/>
  <c r="F193" i="18"/>
  <c r="E193" i="18"/>
  <c r="F192" i="18"/>
  <c r="E192" i="18"/>
  <c r="F191" i="18"/>
  <c r="E191" i="18"/>
  <c r="F190" i="18"/>
  <c r="E190" i="18"/>
  <c r="F189" i="18"/>
  <c r="E189" i="18"/>
  <c r="F188" i="18"/>
  <c r="E188" i="18"/>
  <c r="F187" i="18"/>
  <c r="E187" i="18"/>
  <c r="F186" i="18"/>
  <c r="E186" i="18"/>
  <c r="F185" i="18"/>
  <c r="E185" i="18"/>
  <c r="F184" i="18"/>
  <c r="E184" i="18"/>
  <c r="F183" i="18"/>
  <c r="E183" i="18"/>
  <c r="J176" i="18"/>
  <c r="I176" i="18"/>
  <c r="J175" i="18"/>
  <c r="I175" i="18"/>
  <c r="J174" i="18"/>
  <c r="I174" i="18"/>
  <c r="J173" i="18"/>
  <c r="I173" i="18"/>
  <c r="J172" i="18"/>
  <c r="I172" i="18"/>
  <c r="J171" i="18"/>
  <c r="I171" i="18"/>
  <c r="J170" i="18"/>
  <c r="I170" i="18"/>
  <c r="J169" i="18"/>
  <c r="I169" i="18"/>
  <c r="J168" i="18"/>
  <c r="I168" i="18"/>
  <c r="J167" i="18"/>
  <c r="I167" i="18"/>
  <c r="J166" i="18"/>
  <c r="I166" i="18"/>
  <c r="J165" i="18"/>
  <c r="I165" i="18"/>
  <c r="J164" i="18"/>
  <c r="I164" i="18"/>
  <c r="J163" i="18"/>
  <c r="I163" i="18"/>
  <c r="J162" i="18"/>
  <c r="I162" i="18"/>
  <c r="J161" i="18"/>
  <c r="I161" i="18"/>
  <c r="F176" i="18"/>
  <c r="E176" i="18"/>
  <c r="F175" i="18"/>
  <c r="E175" i="18"/>
  <c r="F174" i="18"/>
  <c r="E174" i="18"/>
  <c r="F173" i="18"/>
  <c r="E173" i="18"/>
  <c r="F172" i="18"/>
  <c r="E172" i="18"/>
  <c r="F171" i="18"/>
  <c r="E171" i="18"/>
  <c r="F170" i="18"/>
  <c r="E170" i="18"/>
  <c r="F169" i="18"/>
  <c r="E169" i="18"/>
  <c r="F168" i="18"/>
  <c r="E168" i="18"/>
  <c r="F167" i="18"/>
  <c r="E167" i="18"/>
  <c r="F166" i="18"/>
  <c r="E166" i="18"/>
  <c r="F165" i="18"/>
  <c r="E165" i="18"/>
  <c r="F164" i="18"/>
  <c r="E164" i="18"/>
  <c r="F163" i="18"/>
  <c r="E163" i="18"/>
  <c r="F162" i="18"/>
  <c r="E162" i="18"/>
  <c r="F161" i="18"/>
  <c r="E161" i="18"/>
  <c r="J154" i="18"/>
  <c r="I154" i="18"/>
  <c r="J153" i="18"/>
  <c r="I153" i="18"/>
  <c r="J152" i="18"/>
  <c r="I152" i="18"/>
  <c r="J151" i="18"/>
  <c r="I151" i="18"/>
  <c r="J150" i="18"/>
  <c r="I150" i="18"/>
  <c r="J149" i="18"/>
  <c r="I149" i="18"/>
  <c r="J148" i="18"/>
  <c r="I148" i="18"/>
  <c r="J147" i="18"/>
  <c r="I147" i="18"/>
  <c r="J146" i="18"/>
  <c r="I146" i="18"/>
  <c r="J145" i="18"/>
  <c r="I145" i="18"/>
  <c r="J144" i="18"/>
  <c r="I144" i="18"/>
  <c r="J143" i="18"/>
  <c r="I143" i="18"/>
  <c r="J142" i="18"/>
  <c r="I142" i="18"/>
  <c r="J141" i="18"/>
  <c r="I141" i="18"/>
  <c r="J140" i="18"/>
  <c r="I140" i="18"/>
  <c r="F154" i="18"/>
  <c r="E154" i="18"/>
  <c r="F153" i="18"/>
  <c r="E153" i="18"/>
  <c r="F152" i="18"/>
  <c r="E152" i="18"/>
  <c r="F151" i="18"/>
  <c r="E151" i="18"/>
  <c r="F150" i="18"/>
  <c r="E150" i="18"/>
  <c r="F149" i="18"/>
  <c r="E149" i="18"/>
  <c r="F148" i="18"/>
  <c r="E148" i="18"/>
  <c r="F147" i="18"/>
  <c r="E147" i="18"/>
  <c r="F146" i="18"/>
  <c r="E146" i="18"/>
  <c r="F145" i="18"/>
  <c r="E145" i="18"/>
  <c r="F144" i="18"/>
  <c r="E144" i="18"/>
  <c r="F143" i="18"/>
  <c r="E143" i="18"/>
  <c r="F142" i="18"/>
  <c r="E142" i="18"/>
  <c r="F141" i="18"/>
  <c r="E141" i="18"/>
  <c r="F140" i="18"/>
  <c r="E140" i="18"/>
  <c r="F139" i="18"/>
  <c r="E139" i="18"/>
  <c r="J132" i="18"/>
  <c r="I132" i="18"/>
  <c r="J131" i="18"/>
  <c r="I131" i="18"/>
  <c r="J130" i="18"/>
  <c r="I130" i="18"/>
  <c r="J129" i="18"/>
  <c r="I129" i="18"/>
  <c r="J128" i="18"/>
  <c r="I128" i="18"/>
  <c r="J127" i="18"/>
  <c r="I127" i="18"/>
  <c r="J126" i="18"/>
  <c r="I126" i="18"/>
  <c r="J125" i="18"/>
  <c r="I125" i="18"/>
  <c r="J124" i="18"/>
  <c r="I124" i="18"/>
  <c r="J123" i="18"/>
  <c r="I123" i="18"/>
  <c r="J122" i="18"/>
  <c r="I122" i="18"/>
  <c r="J121" i="18"/>
  <c r="I121" i="18"/>
  <c r="J120" i="18"/>
  <c r="I120" i="18"/>
  <c r="J119" i="18"/>
  <c r="I119" i="18"/>
  <c r="J118" i="18"/>
  <c r="I118" i="18"/>
  <c r="J117" i="18"/>
  <c r="I117" i="18"/>
  <c r="F132" i="18"/>
  <c r="E132" i="18"/>
  <c r="F131" i="18"/>
  <c r="E131" i="18"/>
  <c r="F130" i="18"/>
  <c r="E130" i="18"/>
  <c r="F129" i="18"/>
  <c r="E129" i="18"/>
  <c r="F128" i="18"/>
  <c r="E128" i="18"/>
  <c r="F127" i="18"/>
  <c r="E127" i="18"/>
  <c r="F126" i="18"/>
  <c r="E126" i="18"/>
  <c r="F125" i="18"/>
  <c r="E125" i="18"/>
  <c r="F124" i="18"/>
  <c r="E124" i="18"/>
  <c r="F123" i="18"/>
  <c r="E123" i="18"/>
  <c r="F122" i="18"/>
  <c r="E122" i="18"/>
  <c r="F121" i="18"/>
  <c r="E121" i="18"/>
  <c r="F120" i="18"/>
  <c r="E120" i="18"/>
  <c r="F119" i="18"/>
  <c r="E119" i="18"/>
  <c r="F118" i="18"/>
  <c r="E118" i="18"/>
  <c r="F117" i="18"/>
  <c r="E117" i="18"/>
  <c r="J110" i="18"/>
  <c r="I110" i="18"/>
  <c r="J109" i="18"/>
  <c r="I109" i="18"/>
  <c r="J108" i="18"/>
  <c r="I108" i="18"/>
  <c r="J107" i="18"/>
  <c r="I107" i="18"/>
  <c r="J106" i="18"/>
  <c r="I106" i="18"/>
  <c r="J105" i="18"/>
  <c r="I105" i="18"/>
  <c r="J104" i="18"/>
  <c r="I104" i="18"/>
  <c r="J103" i="18"/>
  <c r="I103" i="18"/>
  <c r="J102" i="18"/>
  <c r="I102" i="18"/>
  <c r="J101" i="18"/>
  <c r="I101" i="18"/>
  <c r="J100" i="18"/>
  <c r="I100" i="18"/>
  <c r="J99" i="18"/>
  <c r="I99" i="18"/>
  <c r="J98" i="18"/>
  <c r="I98" i="18"/>
  <c r="J97" i="18"/>
  <c r="I97" i="18"/>
  <c r="J96" i="18"/>
  <c r="I96" i="18"/>
  <c r="J95" i="18"/>
  <c r="I95" i="18"/>
  <c r="F110" i="18"/>
  <c r="E110" i="18"/>
  <c r="F109" i="18"/>
  <c r="E109" i="18"/>
  <c r="F108" i="18"/>
  <c r="E108" i="18"/>
  <c r="F107" i="18"/>
  <c r="E107" i="18"/>
  <c r="F106" i="18"/>
  <c r="E106" i="18"/>
  <c r="F105" i="18"/>
  <c r="E105" i="18"/>
  <c r="F104" i="18"/>
  <c r="E104" i="18"/>
  <c r="F103" i="18"/>
  <c r="E103" i="18"/>
  <c r="F102" i="18"/>
  <c r="E102" i="18"/>
  <c r="F101" i="18"/>
  <c r="E101" i="18"/>
  <c r="F100" i="18"/>
  <c r="E100" i="18"/>
  <c r="F99" i="18"/>
  <c r="E99" i="18"/>
  <c r="F98" i="18"/>
  <c r="E98" i="18"/>
  <c r="F97" i="18"/>
  <c r="E97" i="18"/>
  <c r="F96" i="18"/>
  <c r="E96" i="18"/>
  <c r="F95" i="18"/>
  <c r="E95" i="18"/>
  <c r="J88" i="18"/>
  <c r="I88" i="18"/>
  <c r="J87" i="18"/>
  <c r="I87" i="18"/>
  <c r="J86" i="18"/>
  <c r="I86" i="18"/>
  <c r="J85" i="18"/>
  <c r="I85" i="18"/>
  <c r="J84" i="18"/>
  <c r="I84" i="18"/>
  <c r="J83" i="18"/>
  <c r="I83" i="18"/>
  <c r="J82" i="18"/>
  <c r="I82" i="18"/>
  <c r="J81" i="18"/>
  <c r="I81" i="18"/>
  <c r="J80" i="18"/>
  <c r="I80" i="18"/>
  <c r="J79" i="18"/>
  <c r="I79" i="18"/>
  <c r="J78" i="18"/>
  <c r="I78" i="18"/>
  <c r="J77" i="18"/>
  <c r="I77" i="18"/>
  <c r="J76" i="18"/>
  <c r="I76" i="18"/>
  <c r="J75" i="18"/>
  <c r="I75" i="18"/>
  <c r="J74" i="18"/>
  <c r="I74" i="18"/>
  <c r="J73" i="18"/>
  <c r="I73" i="18"/>
  <c r="F88" i="18"/>
  <c r="E88" i="18"/>
  <c r="F87" i="18"/>
  <c r="E87" i="18"/>
  <c r="F86" i="18"/>
  <c r="E86" i="18"/>
  <c r="F85" i="18"/>
  <c r="E85" i="18"/>
  <c r="F84" i="18"/>
  <c r="E84" i="18"/>
  <c r="F83" i="18"/>
  <c r="E83" i="18"/>
  <c r="F82" i="18"/>
  <c r="E82" i="18"/>
  <c r="F81" i="18"/>
  <c r="E81" i="18"/>
  <c r="F80" i="18"/>
  <c r="E80" i="18"/>
  <c r="F79" i="18"/>
  <c r="E79" i="18"/>
  <c r="F78" i="18"/>
  <c r="E78" i="18"/>
  <c r="F77" i="18"/>
  <c r="E77" i="18"/>
  <c r="F76" i="18"/>
  <c r="E76" i="18"/>
  <c r="F75" i="18"/>
  <c r="E75" i="18"/>
  <c r="F74" i="18"/>
  <c r="E74" i="18"/>
  <c r="F73" i="18"/>
  <c r="E73" i="18"/>
  <c r="J66" i="18"/>
  <c r="I66" i="18"/>
  <c r="J65" i="18"/>
  <c r="I65" i="18"/>
  <c r="J64" i="18"/>
  <c r="I64" i="18"/>
  <c r="J63" i="18"/>
  <c r="I63" i="18"/>
  <c r="J62" i="18"/>
  <c r="I62" i="18"/>
  <c r="J61" i="18"/>
  <c r="I61" i="18"/>
  <c r="J60" i="18"/>
  <c r="I60" i="18"/>
  <c r="J59" i="18"/>
  <c r="I59" i="18"/>
  <c r="J58" i="18"/>
  <c r="I58" i="18"/>
  <c r="J57" i="18"/>
  <c r="I57" i="18"/>
  <c r="J56" i="18"/>
  <c r="I56" i="18"/>
  <c r="J55" i="18"/>
  <c r="I55" i="18"/>
  <c r="J54" i="18"/>
  <c r="I54" i="18"/>
  <c r="J53" i="18"/>
  <c r="I53" i="18"/>
  <c r="J52" i="18"/>
  <c r="I52" i="18"/>
  <c r="J51" i="18"/>
  <c r="I51" i="18"/>
  <c r="F66" i="18"/>
  <c r="E66" i="18"/>
  <c r="F65" i="18"/>
  <c r="E65" i="18"/>
  <c r="F64" i="18"/>
  <c r="E64" i="18"/>
  <c r="F63" i="18"/>
  <c r="E63" i="18"/>
  <c r="F62" i="18"/>
  <c r="E62" i="18"/>
  <c r="F61" i="18"/>
  <c r="E61" i="18"/>
  <c r="F60" i="18"/>
  <c r="E60" i="18"/>
  <c r="F59" i="18"/>
  <c r="E59" i="18"/>
  <c r="F58" i="18"/>
  <c r="E58" i="18"/>
  <c r="F57" i="18"/>
  <c r="E57" i="18"/>
  <c r="F56" i="18"/>
  <c r="E56" i="18"/>
  <c r="F55" i="18"/>
  <c r="E55" i="18"/>
  <c r="F54" i="18"/>
  <c r="E54" i="18"/>
  <c r="F53" i="18"/>
  <c r="E53" i="18"/>
  <c r="F52" i="18"/>
  <c r="E52" i="18"/>
  <c r="F51" i="18"/>
  <c r="E51" i="18"/>
  <c r="J44" i="18"/>
  <c r="I44" i="18"/>
  <c r="J43" i="18"/>
  <c r="I43" i="18"/>
  <c r="J42" i="18"/>
  <c r="I42" i="18"/>
  <c r="J41" i="18"/>
  <c r="I41" i="18"/>
  <c r="J40" i="18"/>
  <c r="I40" i="18"/>
  <c r="J39" i="18"/>
  <c r="I39" i="18"/>
  <c r="J38" i="18"/>
  <c r="I38" i="18"/>
  <c r="J37" i="18"/>
  <c r="I37" i="18"/>
  <c r="J36" i="18"/>
  <c r="I36" i="18"/>
  <c r="J35" i="18"/>
  <c r="I35" i="18"/>
  <c r="J34" i="18"/>
  <c r="I34" i="18"/>
  <c r="J33" i="18"/>
  <c r="I33" i="18"/>
  <c r="J32" i="18"/>
  <c r="I32" i="18"/>
  <c r="J31" i="18"/>
  <c r="I31" i="18"/>
  <c r="J30" i="18"/>
  <c r="I30" i="18"/>
  <c r="J29" i="18"/>
  <c r="I29" i="18"/>
  <c r="E30" i="18"/>
  <c r="F30" i="18"/>
  <c r="E31" i="18"/>
  <c r="F31" i="18"/>
  <c r="E32" i="18"/>
  <c r="F32" i="18"/>
  <c r="E33" i="18"/>
  <c r="F33" i="18"/>
  <c r="E34" i="18"/>
  <c r="F34" i="18"/>
  <c r="E35" i="18"/>
  <c r="F35" i="18"/>
  <c r="E36" i="18"/>
  <c r="F36" i="18"/>
  <c r="E37" i="18"/>
  <c r="F37" i="18"/>
  <c r="E38" i="18"/>
  <c r="F38" i="18"/>
  <c r="E39" i="18"/>
  <c r="F39" i="18"/>
  <c r="E40" i="18"/>
  <c r="F40" i="18"/>
  <c r="E41" i="18"/>
  <c r="F41" i="18"/>
  <c r="E42" i="18"/>
  <c r="F42" i="18"/>
  <c r="E43" i="18"/>
  <c r="F43" i="18"/>
  <c r="E44" i="18"/>
  <c r="F44" i="18"/>
  <c r="F29" i="18"/>
  <c r="E29" i="18"/>
  <c r="H22" i="18" l="1"/>
  <c r="G22" i="18"/>
  <c r="H21" i="18"/>
  <c r="G21" i="18"/>
  <c r="H20" i="18"/>
  <c r="G20" i="18"/>
  <c r="H19" i="18"/>
  <c r="G19" i="18"/>
  <c r="H18" i="18"/>
  <c r="G18" i="18"/>
  <c r="H17" i="18"/>
  <c r="G17" i="18"/>
  <c r="H16" i="18"/>
  <c r="G16" i="18"/>
  <c r="H15" i="18"/>
  <c r="G15" i="18"/>
  <c r="H14" i="18"/>
  <c r="G14" i="18"/>
  <c r="H13" i="18"/>
  <c r="G13" i="18"/>
  <c r="H12" i="18"/>
  <c r="G12" i="18"/>
  <c r="H11" i="18"/>
  <c r="G11" i="18"/>
  <c r="H10" i="18"/>
  <c r="G10" i="18"/>
  <c r="H9" i="18"/>
  <c r="G9" i="18"/>
  <c r="H8" i="18"/>
  <c r="G8" i="18"/>
  <c r="H7" i="18"/>
  <c r="G7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7" i="18"/>
  <c r="D225" i="18"/>
  <c r="C225" i="18"/>
  <c r="H224" i="18"/>
  <c r="G224" i="18"/>
  <c r="D203" i="18"/>
  <c r="C203" i="18"/>
  <c r="H202" i="18"/>
  <c r="G202" i="18"/>
  <c r="H180" i="18"/>
  <c r="G180" i="18"/>
  <c r="D181" i="18"/>
  <c r="C181" i="18"/>
  <c r="G26" i="18"/>
  <c r="C27" i="18"/>
  <c r="J139" i="18"/>
  <c r="I139" i="18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F7" i="3"/>
  <c r="E7" i="3"/>
  <c r="J21" i="19"/>
  <c r="I21" i="19"/>
  <c r="J20" i="19"/>
  <c r="I20" i="19"/>
  <c r="J19" i="19"/>
  <c r="I19" i="19"/>
  <c r="J18" i="19"/>
  <c r="I18" i="19"/>
  <c r="J17" i="19"/>
  <c r="I17" i="19"/>
  <c r="J16" i="19"/>
  <c r="I16" i="19"/>
  <c r="J15" i="19"/>
  <c r="I15" i="19"/>
  <c r="J14" i="19"/>
  <c r="I14" i="19"/>
  <c r="J13" i="19"/>
  <c r="I13" i="19"/>
  <c r="J12" i="19"/>
  <c r="I12" i="19"/>
  <c r="J11" i="19"/>
  <c r="I11" i="19"/>
  <c r="J10" i="19"/>
  <c r="I10" i="19"/>
  <c r="J9" i="19"/>
  <c r="I9" i="19"/>
  <c r="J8" i="19"/>
  <c r="I8" i="19"/>
  <c r="J7" i="19"/>
  <c r="I7" i="19"/>
  <c r="E12" i="19"/>
  <c r="F12" i="19"/>
  <c r="E13" i="19"/>
  <c r="F13" i="19"/>
  <c r="E14" i="19"/>
  <c r="F14" i="19"/>
  <c r="E15" i="19"/>
  <c r="F15" i="19"/>
  <c r="E16" i="19"/>
  <c r="F16" i="19"/>
  <c r="E17" i="19"/>
  <c r="F17" i="19"/>
  <c r="E18" i="19"/>
  <c r="F18" i="19"/>
  <c r="E19" i="19"/>
  <c r="F19" i="19"/>
  <c r="E20" i="19"/>
  <c r="F20" i="19"/>
  <c r="E21" i="19"/>
  <c r="F21" i="19"/>
  <c r="E8" i="19"/>
  <c r="F8" i="19"/>
  <c r="E9" i="19"/>
  <c r="F9" i="19"/>
  <c r="E10" i="19"/>
  <c r="F10" i="19"/>
  <c r="E11" i="19"/>
  <c r="F11" i="19"/>
  <c r="F7" i="19"/>
  <c r="E7" i="19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J11" i="5"/>
  <c r="I11" i="5"/>
  <c r="J10" i="5"/>
  <c r="I10" i="5"/>
  <c r="J9" i="5"/>
  <c r="I9" i="5"/>
  <c r="J8" i="5"/>
  <c r="I8" i="5"/>
  <c r="J7" i="5"/>
  <c r="I7" i="5"/>
  <c r="E12" i="5"/>
  <c r="F12" i="5"/>
  <c r="E13" i="5"/>
  <c r="F13" i="5"/>
  <c r="E14" i="5"/>
  <c r="F14" i="5"/>
  <c r="E15" i="5"/>
  <c r="F15" i="5"/>
  <c r="E16" i="5"/>
  <c r="F16" i="5"/>
  <c r="E17" i="5"/>
  <c r="F17" i="5"/>
  <c r="E18" i="5"/>
  <c r="F18" i="5"/>
  <c r="E19" i="5"/>
  <c r="F19" i="5"/>
  <c r="E20" i="5"/>
  <c r="F20" i="5"/>
  <c r="E8" i="5"/>
  <c r="F8" i="5"/>
  <c r="E9" i="5"/>
  <c r="F9" i="5"/>
  <c r="E10" i="5"/>
  <c r="F10" i="5"/>
  <c r="E11" i="5"/>
  <c r="F11" i="5"/>
  <c r="F7" i="5"/>
  <c r="E7" i="5"/>
  <c r="R81" i="4"/>
  <c r="Q81" i="4"/>
  <c r="P81" i="4"/>
  <c r="O81" i="4"/>
  <c r="R80" i="4"/>
  <c r="Q80" i="4"/>
  <c r="P80" i="4"/>
  <c r="O80" i="4"/>
  <c r="R79" i="4"/>
  <c r="Q79" i="4"/>
  <c r="P79" i="4"/>
  <c r="O79" i="4"/>
  <c r="R78" i="4"/>
  <c r="Q78" i="4"/>
  <c r="P78" i="4"/>
  <c r="O78" i="4"/>
  <c r="J81" i="4"/>
  <c r="I81" i="4"/>
  <c r="H81" i="4"/>
  <c r="G81" i="4"/>
  <c r="J80" i="4"/>
  <c r="I80" i="4"/>
  <c r="H80" i="4"/>
  <c r="G80" i="4"/>
  <c r="J79" i="4"/>
  <c r="I79" i="4"/>
  <c r="H79" i="4"/>
  <c r="G79" i="4"/>
  <c r="J78" i="4"/>
  <c r="I78" i="4"/>
  <c r="H78" i="4"/>
  <c r="G78" i="4"/>
  <c r="R71" i="4"/>
  <c r="Q71" i="4"/>
  <c r="P71" i="4"/>
  <c r="O71" i="4"/>
  <c r="R70" i="4"/>
  <c r="Q70" i="4"/>
  <c r="P70" i="4"/>
  <c r="O70" i="4"/>
  <c r="R69" i="4"/>
  <c r="Q69" i="4"/>
  <c r="P69" i="4"/>
  <c r="O69" i="4"/>
  <c r="R68" i="4"/>
  <c r="Q68" i="4"/>
  <c r="P68" i="4"/>
  <c r="O68" i="4"/>
  <c r="J71" i="4"/>
  <c r="I71" i="4"/>
  <c r="H71" i="4"/>
  <c r="G71" i="4"/>
  <c r="J70" i="4"/>
  <c r="I70" i="4"/>
  <c r="H70" i="4"/>
  <c r="G70" i="4"/>
  <c r="J69" i="4"/>
  <c r="I69" i="4"/>
  <c r="H69" i="4"/>
  <c r="G69" i="4"/>
  <c r="J68" i="4"/>
  <c r="I68" i="4"/>
  <c r="H68" i="4"/>
  <c r="G68" i="4"/>
  <c r="R61" i="4"/>
  <c r="Q61" i="4"/>
  <c r="P61" i="4"/>
  <c r="O61" i="4"/>
  <c r="R60" i="4"/>
  <c r="Q60" i="4"/>
  <c r="P60" i="4"/>
  <c r="O60" i="4"/>
  <c r="R59" i="4"/>
  <c r="Q59" i="4"/>
  <c r="P59" i="4"/>
  <c r="O59" i="4"/>
  <c r="R58" i="4"/>
  <c r="Q58" i="4"/>
  <c r="P58" i="4"/>
  <c r="O58" i="4"/>
  <c r="J61" i="4"/>
  <c r="I61" i="4"/>
  <c r="H61" i="4"/>
  <c r="G61" i="4"/>
  <c r="J60" i="4"/>
  <c r="I60" i="4"/>
  <c r="H60" i="4"/>
  <c r="G60" i="4"/>
  <c r="J59" i="4"/>
  <c r="I59" i="4"/>
  <c r="H59" i="4"/>
  <c r="G59" i="4"/>
  <c r="J58" i="4"/>
  <c r="I58" i="4"/>
  <c r="H58" i="4"/>
  <c r="G58" i="4"/>
  <c r="R51" i="4"/>
  <c r="Q51" i="4"/>
  <c r="P51" i="4"/>
  <c r="O51" i="4"/>
  <c r="R50" i="4"/>
  <c r="Q50" i="4"/>
  <c r="P50" i="4"/>
  <c r="O50" i="4"/>
  <c r="R49" i="4"/>
  <c r="Q49" i="4"/>
  <c r="P49" i="4"/>
  <c r="O49" i="4"/>
  <c r="R48" i="4"/>
  <c r="Q48" i="4"/>
  <c r="P48" i="4"/>
  <c r="O48" i="4"/>
  <c r="J51" i="4"/>
  <c r="I51" i="4"/>
  <c r="H51" i="4"/>
  <c r="G51" i="4"/>
  <c r="J50" i="4"/>
  <c r="I50" i="4"/>
  <c r="H50" i="4"/>
  <c r="G50" i="4"/>
  <c r="J49" i="4"/>
  <c r="I49" i="4"/>
  <c r="H49" i="4"/>
  <c r="G49" i="4"/>
  <c r="J48" i="4"/>
  <c r="I48" i="4"/>
  <c r="H48" i="4"/>
  <c r="G48" i="4"/>
  <c r="R41" i="4"/>
  <c r="Q41" i="4"/>
  <c r="P41" i="4"/>
  <c r="O41" i="4"/>
  <c r="R40" i="4"/>
  <c r="Q40" i="4"/>
  <c r="P40" i="4"/>
  <c r="O40" i="4"/>
  <c r="R39" i="4"/>
  <c r="Q39" i="4"/>
  <c r="P39" i="4"/>
  <c r="O39" i="4"/>
  <c r="R38" i="4"/>
  <c r="Q38" i="4"/>
  <c r="P38" i="4"/>
  <c r="O38" i="4"/>
  <c r="J41" i="4"/>
  <c r="I41" i="4"/>
  <c r="H41" i="4"/>
  <c r="G41" i="4"/>
  <c r="J40" i="4"/>
  <c r="I40" i="4"/>
  <c r="H40" i="4"/>
  <c r="G40" i="4"/>
  <c r="J39" i="4"/>
  <c r="I39" i="4"/>
  <c r="H39" i="4"/>
  <c r="G39" i="4"/>
  <c r="J38" i="4"/>
  <c r="I38" i="4"/>
  <c r="H38" i="4"/>
  <c r="G38" i="4"/>
  <c r="R31" i="4"/>
  <c r="Q31" i="4"/>
  <c r="P31" i="4"/>
  <c r="O31" i="4"/>
  <c r="R30" i="4"/>
  <c r="Q30" i="4"/>
  <c r="P30" i="4"/>
  <c r="O30" i="4"/>
  <c r="R29" i="4"/>
  <c r="Q29" i="4"/>
  <c r="P29" i="4"/>
  <c r="O29" i="4"/>
  <c r="R28" i="4"/>
  <c r="Q28" i="4"/>
  <c r="P28" i="4"/>
  <c r="O28" i="4"/>
  <c r="J31" i="4"/>
  <c r="I31" i="4"/>
  <c r="H31" i="4"/>
  <c r="G31" i="4"/>
  <c r="J30" i="4"/>
  <c r="I30" i="4"/>
  <c r="H30" i="4"/>
  <c r="G30" i="4"/>
  <c r="J29" i="4"/>
  <c r="I29" i="4"/>
  <c r="H29" i="4"/>
  <c r="G29" i="4"/>
  <c r="J28" i="4"/>
  <c r="I28" i="4"/>
  <c r="H28" i="4"/>
  <c r="G28" i="4"/>
  <c r="R11" i="4"/>
  <c r="Q11" i="4"/>
  <c r="P11" i="4"/>
  <c r="O11" i="4"/>
  <c r="R10" i="4"/>
  <c r="Q10" i="4"/>
  <c r="P10" i="4"/>
  <c r="O10" i="4"/>
  <c r="R9" i="4"/>
  <c r="Q9" i="4"/>
  <c r="P9" i="4"/>
  <c r="O9" i="4"/>
  <c r="R8" i="4"/>
  <c r="Q8" i="4"/>
  <c r="P8" i="4"/>
  <c r="O8" i="4"/>
  <c r="R21" i="4"/>
  <c r="Q21" i="4"/>
  <c r="P21" i="4"/>
  <c r="O21" i="4"/>
  <c r="R20" i="4"/>
  <c r="Q20" i="4"/>
  <c r="P20" i="4"/>
  <c r="O20" i="4"/>
  <c r="R19" i="4"/>
  <c r="Q19" i="4"/>
  <c r="P19" i="4"/>
  <c r="O19" i="4"/>
  <c r="R18" i="4"/>
  <c r="Q18" i="4"/>
  <c r="P18" i="4"/>
  <c r="O18" i="4"/>
  <c r="J10" i="4"/>
  <c r="H10" i="4"/>
  <c r="I19" i="4"/>
  <c r="J19" i="4"/>
  <c r="I20" i="4"/>
  <c r="J20" i="4"/>
  <c r="I21" i="4"/>
  <c r="J21" i="4"/>
  <c r="J18" i="4"/>
  <c r="I18" i="4"/>
  <c r="H18" i="4"/>
  <c r="H19" i="4"/>
  <c r="H20" i="4"/>
  <c r="H21" i="4"/>
  <c r="G21" i="4"/>
  <c r="G19" i="4"/>
  <c r="G20" i="4"/>
  <c r="G18" i="4"/>
  <c r="F11" i="4"/>
  <c r="K11" i="4"/>
  <c r="L11" i="4"/>
  <c r="N11" i="4"/>
  <c r="M11" i="4"/>
  <c r="N10" i="4"/>
  <c r="M10" i="4"/>
  <c r="L10" i="4"/>
  <c r="K10" i="4"/>
  <c r="N9" i="4"/>
  <c r="M9" i="4"/>
  <c r="L9" i="4"/>
  <c r="K9" i="4"/>
  <c r="N8" i="4"/>
  <c r="M8" i="4"/>
  <c r="L8" i="4"/>
  <c r="K8" i="4"/>
  <c r="I11" i="17" l="1"/>
  <c r="I10" i="17"/>
  <c r="I9" i="17"/>
  <c r="I8" i="17"/>
  <c r="I7" i="17"/>
  <c r="E8" i="17"/>
  <c r="F8" i="17"/>
  <c r="E9" i="17"/>
  <c r="F9" i="17"/>
  <c r="E10" i="17"/>
  <c r="F10" i="17"/>
  <c r="E11" i="17"/>
  <c r="F11" i="17"/>
  <c r="F7" i="17"/>
  <c r="E7" i="17"/>
  <c r="J14" i="16"/>
  <c r="I14" i="16"/>
  <c r="J13" i="16"/>
  <c r="I13" i="16"/>
  <c r="J12" i="16"/>
  <c r="I12" i="16"/>
  <c r="J11" i="16"/>
  <c r="I11" i="16"/>
  <c r="J10" i="16"/>
  <c r="I10" i="16"/>
  <c r="J9" i="16"/>
  <c r="I9" i="16"/>
  <c r="J8" i="16"/>
  <c r="I8" i="16"/>
  <c r="J7" i="16"/>
  <c r="I7" i="16"/>
  <c r="C14" i="16"/>
  <c r="E8" i="16"/>
  <c r="F8" i="16"/>
  <c r="E9" i="16"/>
  <c r="F9" i="16"/>
  <c r="E10" i="16"/>
  <c r="F10" i="16"/>
  <c r="E11" i="16"/>
  <c r="F11" i="16"/>
  <c r="E12" i="16"/>
  <c r="F12" i="16"/>
  <c r="E13" i="16"/>
  <c r="F13" i="16"/>
  <c r="F7" i="16"/>
  <c r="E7" i="16"/>
  <c r="J9" i="14"/>
  <c r="I9" i="14"/>
  <c r="J8" i="14"/>
  <c r="I8" i="14"/>
  <c r="J7" i="14"/>
  <c r="I7" i="14"/>
  <c r="E8" i="14"/>
  <c r="F8" i="14"/>
  <c r="E9" i="14"/>
  <c r="F9" i="14"/>
  <c r="F7" i="14"/>
  <c r="E7" i="14"/>
  <c r="J15" i="13"/>
  <c r="I15" i="13"/>
  <c r="J14" i="13"/>
  <c r="I14" i="13"/>
  <c r="J13" i="13"/>
  <c r="I13" i="13"/>
  <c r="J12" i="13"/>
  <c r="I12" i="13"/>
  <c r="J11" i="13"/>
  <c r="I11" i="13"/>
  <c r="J10" i="13"/>
  <c r="I10" i="13"/>
  <c r="J9" i="13"/>
  <c r="I9" i="13"/>
  <c r="J8" i="13"/>
  <c r="I8" i="13"/>
  <c r="J7" i="13"/>
  <c r="I7" i="13"/>
  <c r="E8" i="13"/>
  <c r="F8" i="13"/>
  <c r="E9" i="13"/>
  <c r="F9" i="13"/>
  <c r="E10" i="13"/>
  <c r="F10" i="13"/>
  <c r="E11" i="13"/>
  <c r="F11" i="13"/>
  <c r="E12" i="13"/>
  <c r="F12" i="13"/>
  <c r="E13" i="13"/>
  <c r="F13" i="13"/>
  <c r="E14" i="13"/>
  <c r="F14" i="13"/>
  <c r="E15" i="13"/>
  <c r="F15" i="13"/>
  <c r="F7" i="13"/>
  <c r="E7" i="13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I13" i="12"/>
  <c r="J12" i="12"/>
  <c r="I12" i="12"/>
  <c r="J11" i="12"/>
  <c r="I11" i="12"/>
  <c r="J10" i="12"/>
  <c r="I10" i="12"/>
  <c r="J9" i="12"/>
  <c r="I9" i="12"/>
  <c r="J8" i="12"/>
  <c r="I8" i="12"/>
  <c r="J7" i="12"/>
  <c r="I7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J17" i="11"/>
  <c r="I17" i="11"/>
  <c r="J16" i="11"/>
  <c r="I16" i="11"/>
  <c r="J15" i="11"/>
  <c r="I15" i="11"/>
  <c r="J14" i="11"/>
  <c r="I14" i="11"/>
  <c r="J13" i="11"/>
  <c r="I13" i="11"/>
  <c r="J12" i="11"/>
  <c r="I12" i="11"/>
  <c r="J11" i="11"/>
  <c r="I11" i="11"/>
  <c r="J10" i="11"/>
  <c r="I10" i="11"/>
  <c r="J9" i="11"/>
  <c r="I9" i="11"/>
  <c r="J8" i="11"/>
  <c r="I8" i="11"/>
  <c r="J7" i="11"/>
  <c r="I7" i="11"/>
  <c r="E16" i="11"/>
  <c r="F16" i="11"/>
  <c r="E17" i="11"/>
  <c r="F17" i="11"/>
  <c r="F15" i="11"/>
  <c r="E15" i="11"/>
  <c r="F14" i="11"/>
  <c r="E14" i="11"/>
  <c r="F13" i="11"/>
  <c r="E13" i="11"/>
  <c r="F12" i="11"/>
  <c r="E12" i="11"/>
  <c r="F11" i="11"/>
  <c r="E11" i="11"/>
  <c r="F10" i="11"/>
  <c r="E10" i="11"/>
  <c r="F9" i="11"/>
  <c r="E9" i="11"/>
  <c r="F8" i="11"/>
  <c r="E8" i="11"/>
  <c r="F7" i="11"/>
  <c r="E7" i="11"/>
  <c r="J15" i="10"/>
  <c r="I15" i="10"/>
  <c r="J14" i="10"/>
  <c r="I14" i="10"/>
  <c r="J13" i="10"/>
  <c r="I13" i="10"/>
  <c r="J12" i="10"/>
  <c r="I12" i="10"/>
  <c r="J11" i="10"/>
  <c r="I11" i="10"/>
  <c r="J10" i="10"/>
  <c r="I10" i="10"/>
  <c r="J9" i="10"/>
  <c r="I9" i="10"/>
  <c r="J8" i="10"/>
  <c r="I8" i="10"/>
  <c r="J7" i="10"/>
  <c r="I7" i="10"/>
  <c r="E8" i="10"/>
  <c r="F8" i="10"/>
  <c r="E9" i="10"/>
  <c r="F9" i="10"/>
  <c r="E10" i="10"/>
  <c r="F10" i="10"/>
  <c r="E11" i="10"/>
  <c r="F11" i="10"/>
  <c r="E12" i="10"/>
  <c r="F12" i="10"/>
  <c r="E13" i="10"/>
  <c r="F13" i="10"/>
  <c r="E14" i="10"/>
  <c r="F14" i="10"/>
  <c r="E15" i="10"/>
  <c r="F15" i="10"/>
  <c r="F7" i="10"/>
  <c r="E7" i="10"/>
  <c r="E7" i="9"/>
  <c r="F7" i="9"/>
  <c r="I7" i="9"/>
  <c r="J7" i="9"/>
  <c r="J35" i="9"/>
  <c r="I35" i="9"/>
  <c r="J34" i="9"/>
  <c r="I34" i="9"/>
  <c r="J33" i="9"/>
  <c r="I33" i="9"/>
  <c r="J32" i="9"/>
  <c r="I32" i="9"/>
  <c r="J31" i="9"/>
  <c r="I31" i="9"/>
  <c r="J30" i="9"/>
  <c r="I30" i="9"/>
  <c r="J29" i="9"/>
  <c r="I29" i="9"/>
  <c r="J28" i="9"/>
  <c r="I28" i="9"/>
  <c r="J27" i="9"/>
  <c r="I27" i="9"/>
  <c r="J26" i="9"/>
  <c r="I26" i="9"/>
  <c r="J25" i="9"/>
  <c r="I25" i="9"/>
  <c r="J24" i="9"/>
  <c r="I24" i="9"/>
  <c r="J23" i="9"/>
  <c r="I23" i="9"/>
  <c r="J22" i="9"/>
  <c r="I22" i="9"/>
  <c r="J21" i="9"/>
  <c r="I21" i="9"/>
  <c r="J20" i="9"/>
  <c r="I20" i="9"/>
  <c r="J19" i="9"/>
  <c r="I19" i="9"/>
  <c r="J18" i="9"/>
  <c r="I18" i="9"/>
  <c r="J17" i="9"/>
  <c r="I17" i="9"/>
  <c r="J16" i="9"/>
  <c r="I16" i="9"/>
  <c r="J15" i="9"/>
  <c r="I15" i="9"/>
  <c r="J14" i="9"/>
  <c r="I14" i="9"/>
  <c r="J13" i="9"/>
  <c r="I13" i="9"/>
  <c r="J12" i="9"/>
  <c r="I12" i="9"/>
  <c r="J11" i="9"/>
  <c r="I11" i="9"/>
  <c r="J10" i="9"/>
  <c r="I10" i="9"/>
  <c r="J9" i="9"/>
  <c r="I9" i="9"/>
  <c r="J8" i="9"/>
  <c r="I8" i="9"/>
  <c r="E8" i="9"/>
  <c r="F8" i="9"/>
  <c r="E23" i="9"/>
  <c r="F23" i="9"/>
  <c r="E24" i="9"/>
  <c r="F24" i="9"/>
  <c r="E25" i="9"/>
  <c r="F25" i="9"/>
  <c r="E26" i="9"/>
  <c r="F26" i="9"/>
  <c r="E27" i="9"/>
  <c r="F27" i="9"/>
  <c r="E28" i="9"/>
  <c r="F28" i="9"/>
  <c r="E29" i="9"/>
  <c r="F29" i="9"/>
  <c r="E30" i="9"/>
  <c r="F30" i="9"/>
  <c r="E31" i="9"/>
  <c r="F31" i="9"/>
  <c r="E32" i="9"/>
  <c r="F32" i="9"/>
  <c r="E33" i="9"/>
  <c r="F33" i="9"/>
  <c r="E34" i="9"/>
  <c r="F34" i="9"/>
  <c r="E35" i="9"/>
  <c r="F35" i="9"/>
  <c r="E18" i="9"/>
  <c r="F18" i="9"/>
  <c r="E19" i="9"/>
  <c r="F19" i="9"/>
  <c r="E20" i="9"/>
  <c r="F20" i="9"/>
  <c r="E21" i="9"/>
  <c r="F21" i="9"/>
  <c r="E22" i="9"/>
  <c r="F22" i="9"/>
  <c r="E10" i="9"/>
  <c r="F10" i="9"/>
  <c r="E11" i="9"/>
  <c r="F11" i="9"/>
  <c r="E12" i="9"/>
  <c r="F12" i="9"/>
  <c r="E13" i="9"/>
  <c r="F13" i="9"/>
  <c r="E14" i="9"/>
  <c r="F14" i="9"/>
  <c r="E15" i="9"/>
  <c r="F15" i="9"/>
  <c r="E16" i="9"/>
  <c r="F16" i="9"/>
  <c r="E17" i="9"/>
  <c r="F17" i="9"/>
  <c r="F9" i="9"/>
  <c r="E9" i="9"/>
  <c r="Z19" i="8"/>
  <c r="Y19" i="8"/>
  <c r="Z18" i="8"/>
  <c r="Y18" i="8"/>
  <c r="Z17" i="8"/>
  <c r="Y17" i="8"/>
  <c r="Z16" i="8"/>
  <c r="Y16" i="8"/>
  <c r="Z15" i="8"/>
  <c r="Y15" i="8"/>
  <c r="Z14" i="8"/>
  <c r="Y14" i="8"/>
  <c r="Z13" i="8"/>
  <c r="Y13" i="8"/>
  <c r="Z12" i="8"/>
  <c r="Y12" i="8"/>
  <c r="Z11" i="8"/>
  <c r="Y11" i="8"/>
  <c r="Z10" i="8"/>
  <c r="Y10" i="8"/>
  <c r="Z9" i="8"/>
  <c r="Y9" i="8"/>
  <c r="Z8" i="8"/>
  <c r="Y8" i="8"/>
  <c r="Z7" i="8"/>
  <c r="Y7" i="8"/>
  <c r="R19" i="8"/>
  <c r="Q19" i="8"/>
  <c r="R18" i="8"/>
  <c r="Q18" i="8"/>
  <c r="R17" i="8"/>
  <c r="Q17" i="8"/>
  <c r="R16" i="8"/>
  <c r="Q16" i="8"/>
  <c r="R15" i="8"/>
  <c r="Q15" i="8"/>
  <c r="R14" i="8"/>
  <c r="Q14" i="8"/>
  <c r="R13" i="8"/>
  <c r="Q13" i="8"/>
  <c r="R12" i="8"/>
  <c r="Q12" i="8"/>
  <c r="R11" i="8"/>
  <c r="Q11" i="8"/>
  <c r="R10" i="8"/>
  <c r="Q10" i="8"/>
  <c r="R9" i="8"/>
  <c r="Q9" i="8"/>
  <c r="R8" i="8"/>
  <c r="Q8" i="8"/>
  <c r="R7" i="8"/>
  <c r="Q7" i="8"/>
  <c r="N19" i="8"/>
  <c r="M19" i="8"/>
  <c r="N18" i="8"/>
  <c r="M18" i="8"/>
  <c r="N17" i="8"/>
  <c r="M17" i="8"/>
  <c r="N16" i="8"/>
  <c r="M16" i="8"/>
  <c r="N15" i="8"/>
  <c r="M15" i="8"/>
  <c r="N14" i="8"/>
  <c r="M14" i="8"/>
  <c r="N13" i="8"/>
  <c r="M13" i="8"/>
  <c r="N12" i="8"/>
  <c r="M12" i="8"/>
  <c r="N11" i="8"/>
  <c r="M11" i="8"/>
  <c r="N10" i="8"/>
  <c r="M10" i="8"/>
  <c r="N9" i="8"/>
  <c r="M9" i="8"/>
  <c r="N8" i="8"/>
  <c r="M8" i="8"/>
  <c r="N7" i="8"/>
  <c r="M7" i="8"/>
  <c r="J19" i="8"/>
  <c r="I19" i="8"/>
  <c r="J18" i="8"/>
  <c r="I18" i="8"/>
  <c r="J17" i="8"/>
  <c r="I17" i="8"/>
  <c r="J16" i="8"/>
  <c r="I16" i="8"/>
  <c r="J15" i="8"/>
  <c r="I15" i="8"/>
  <c r="J14" i="8"/>
  <c r="I14" i="8"/>
  <c r="J13" i="8"/>
  <c r="I13" i="8"/>
  <c r="J12" i="8"/>
  <c r="I12" i="8"/>
  <c r="J11" i="8"/>
  <c r="I11" i="8"/>
  <c r="J10" i="8"/>
  <c r="I10" i="8"/>
  <c r="J9" i="8"/>
  <c r="I9" i="8"/>
  <c r="J8" i="8"/>
  <c r="I8" i="8"/>
  <c r="J7" i="8"/>
  <c r="I7" i="8"/>
  <c r="E8" i="8"/>
  <c r="F8" i="8"/>
  <c r="E9" i="8"/>
  <c r="F9" i="8"/>
  <c r="E10" i="8"/>
  <c r="F10" i="8"/>
  <c r="E11" i="8"/>
  <c r="F11" i="8"/>
  <c r="E12" i="8"/>
  <c r="F12" i="8"/>
  <c r="E13" i="8"/>
  <c r="F13" i="8"/>
  <c r="E14" i="8"/>
  <c r="F14" i="8"/>
  <c r="E15" i="8"/>
  <c r="F15" i="8"/>
  <c r="E16" i="8"/>
  <c r="F16" i="8"/>
  <c r="E17" i="8"/>
  <c r="F17" i="8"/>
  <c r="E18" i="8"/>
  <c r="F18" i="8"/>
  <c r="E19" i="8"/>
  <c r="F19" i="8"/>
  <c r="F7" i="8"/>
  <c r="E7" i="8"/>
  <c r="J176" i="7"/>
  <c r="I176" i="7"/>
  <c r="J175" i="7"/>
  <c r="I175" i="7"/>
  <c r="J174" i="7"/>
  <c r="I174" i="7"/>
  <c r="J173" i="7"/>
  <c r="I173" i="7"/>
  <c r="J172" i="7"/>
  <c r="I172" i="7"/>
  <c r="J171" i="7"/>
  <c r="I171" i="7"/>
  <c r="J170" i="7"/>
  <c r="I170" i="7"/>
  <c r="J169" i="7"/>
  <c r="I169" i="7"/>
  <c r="J168" i="7"/>
  <c r="I168" i="7"/>
  <c r="J167" i="7"/>
  <c r="I167" i="7"/>
  <c r="J166" i="7"/>
  <c r="I166" i="7"/>
  <c r="J165" i="7"/>
  <c r="I165" i="7"/>
  <c r="J164" i="7"/>
  <c r="I164" i="7"/>
  <c r="J163" i="7"/>
  <c r="I163" i="7"/>
  <c r="J162" i="7"/>
  <c r="I162" i="7"/>
  <c r="J161" i="7"/>
  <c r="I161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F169" i="7"/>
  <c r="E169" i="7"/>
  <c r="F168" i="7"/>
  <c r="E168" i="7"/>
  <c r="F167" i="7"/>
  <c r="E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J154" i="7"/>
  <c r="I154" i="7"/>
  <c r="J153" i="7"/>
  <c r="I153" i="7"/>
  <c r="J152" i="7"/>
  <c r="I152" i="7"/>
  <c r="J151" i="7"/>
  <c r="I151" i="7"/>
  <c r="J150" i="7"/>
  <c r="I150" i="7"/>
  <c r="J149" i="7"/>
  <c r="I149" i="7"/>
  <c r="J148" i="7"/>
  <c r="I148" i="7"/>
  <c r="J147" i="7"/>
  <c r="I147" i="7"/>
  <c r="J146" i="7"/>
  <c r="I146" i="7"/>
  <c r="J145" i="7"/>
  <c r="I145" i="7"/>
  <c r="J144" i="7"/>
  <c r="I144" i="7"/>
  <c r="J143" i="7"/>
  <c r="I143" i="7"/>
  <c r="J142" i="7"/>
  <c r="I142" i="7"/>
  <c r="J141" i="7"/>
  <c r="I141" i="7"/>
  <c r="J140" i="7"/>
  <c r="I140" i="7"/>
  <c r="J139" i="7"/>
  <c r="I139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J132" i="7"/>
  <c r="I132" i="7"/>
  <c r="J131" i="7"/>
  <c r="I131" i="7"/>
  <c r="J130" i="7"/>
  <c r="I130" i="7"/>
  <c r="J129" i="7"/>
  <c r="I129" i="7"/>
  <c r="J128" i="7"/>
  <c r="I128" i="7"/>
  <c r="J127" i="7"/>
  <c r="I127" i="7"/>
  <c r="J126" i="7"/>
  <c r="I126" i="7"/>
  <c r="J125" i="7"/>
  <c r="I125" i="7"/>
  <c r="J124" i="7"/>
  <c r="I124" i="7"/>
  <c r="J123" i="7"/>
  <c r="I123" i="7"/>
  <c r="J122" i="7"/>
  <c r="I122" i="7"/>
  <c r="J121" i="7"/>
  <c r="I121" i="7"/>
  <c r="J120" i="7"/>
  <c r="I120" i="7"/>
  <c r="J119" i="7"/>
  <c r="I119" i="7"/>
  <c r="J118" i="7"/>
  <c r="I118" i="7"/>
  <c r="J117" i="7"/>
  <c r="I117" i="7"/>
  <c r="F132" i="7"/>
  <c r="E132" i="7"/>
  <c r="F131" i="7"/>
  <c r="E131" i="7"/>
  <c r="F130" i="7"/>
  <c r="E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F123" i="7"/>
  <c r="E123" i="7"/>
  <c r="F122" i="7"/>
  <c r="E122" i="7"/>
  <c r="F121" i="7"/>
  <c r="E121" i="7"/>
  <c r="F120" i="7"/>
  <c r="E120" i="7"/>
  <c r="F119" i="7"/>
  <c r="E119" i="7"/>
  <c r="F118" i="7"/>
  <c r="E118" i="7"/>
  <c r="F117" i="7"/>
  <c r="E117" i="7"/>
  <c r="J110" i="7"/>
  <c r="I110" i="7"/>
  <c r="J109" i="7"/>
  <c r="I109" i="7"/>
  <c r="J108" i="7"/>
  <c r="I108" i="7"/>
  <c r="J107" i="7"/>
  <c r="I107" i="7"/>
  <c r="J106" i="7"/>
  <c r="I106" i="7"/>
  <c r="J105" i="7"/>
  <c r="I105" i="7"/>
  <c r="J104" i="7"/>
  <c r="I104" i="7"/>
  <c r="J103" i="7"/>
  <c r="I103" i="7"/>
  <c r="J102" i="7"/>
  <c r="I102" i="7"/>
  <c r="J101" i="7"/>
  <c r="I101" i="7"/>
  <c r="J100" i="7"/>
  <c r="I100" i="7"/>
  <c r="J99" i="7"/>
  <c r="I99" i="7"/>
  <c r="J98" i="7"/>
  <c r="I98" i="7"/>
  <c r="J97" i="7"/>
  <c r="I97" i="7"/>
  <c r="J96" i="7"/>
  <c r="I96" i="7"/>
  <c r="J95" i="7"/>
  <c r="I95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102" i="7"/>
  <c r="E102" i="7"/>
  <c r="F101" i="7"/>
  <c r="E101" i="7"/>
  <c r="F100" i="7"/>
  <c r="E100" i="7"/>
  <c r="F99" i="7"/>
  <c r="E99" i="7"/>
  <c r="F98" i="7"/>
  <c r="E98" i="7"/>
  <c r="F97" i="7"/>
  <c r="E97" i="7"/>
  <c r="F96" i="7"/>
  <c r="E96" i="7"/>
  <c r="F95" i="7"/>
  <c r="E95" i="7"/>
  <c r="J88" i="7"/>
  <c r="I88" i="7"/>
  <c r="J87" i="7"/>
  <c r="I87" i="7"/>
  <c r="J86" i="7"/>
  <c r="I86" i="7"/>
  <c r="J85" i="7"/>
  <c r="I85" i="7"/>
  <c r="J84" i="7"/>
  <c r="I84" i="7"/>
  <c r="J83" i="7"/>
  <c r="I83" i="7"/>
  <c r="J82" i="7"/>
  <c r="I82" i="7"/>
  <c r="J81" i="7"/>
  <c r="I81" i="7"/>
  <c r="J80" i="7"/>
  <c r="I80" i="7"/>
  <c r="J79" i="7"/>
  <c r="I79" i="7"/>
  <c r="J78" i="7"/>
  <c r="I78" i="7"/>
  <c r="J77" i="7"/>
  <c r="I77" i="7"/>
  <c r="J76" i="7"/>
  <c r="I76" i="7"/>
  <c r="J75" i="7"/>
  <c r="I75" i="7"/>
  <c r="J74" i="7"/>
  <c r="I74" i="7"/>
  <c r="J73" i="7"/>
  <c r="I73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J66" i="7"/>
  <c r="I66" i="7"/>
  <c r="J65" i="7"/>
  <c r="I65" i="7"/>
  <c r="J64" i="7"/>
  <c r="I64" i="7"/>
  <c r="J63" i="7"/>
  <c r="I63" i="7"/>
  <c r="J62" i="7"/>
  <c r="I62" i="7"/>
  <c r="J61" i="7"/>
  <c r="I61" i="7"/>
  <c r="J60" i="7"/>
  <c r="I60" i="7"/>
  <c r="J59" i="7"/>
  <c r="I59" i="7"/>
  <c r="J58" i="7"/>
  <c r="I58" i="7"/>
  <c r="J57" i="7"/>
  <c r="I57" i="7"/>
  <c r="J56" i="7"/>
  <c r="I56" i="7"/>
  <c r="J55" i="7"/>
  <c r="I55" i="7"/>
  <c r="J54" i="7"/>
  <c r="I54" i="7"/>
  <c r="J53" i="7"/>
  <c r="I53" i="7"/>
  <c r="J52" i="7"/>
  <c r="I52" i="7"/>
  <c r="J51" i="7"/>
  <c r="I51" i="7"/>
  <c r="F66" i="7"/>
  <c r="E66" i="7"/>
  <c r="F65" i="7"/>
  <c r="E65" i="7"/>
  <c r="F64" i="7"/>
  <c r="E64" i="7"/>
  <c r="F63" i="7"/>
  <c r="E63" i="7"/>
  <c r="F62" i="7"/>
  <c r="E62" i="7"/>
  <c r="F61" i="7"/>
  <c r="E61" i="7"/>
  <c r="F60" i="7"/>
  <c r="E60" i="7"/>
  <c r="F59" i="7"/>
  <c r="E59" i="7"/>
  <c r="F58" i="7"/>
  <c r="E58" i="7"/>
  <c r="F57" i="7"/>
  <c r="E57" i="7"/>
  <c r="F56" i="7"/>
  <c r="E56" i="7"/>
  <c r="F55" i="7"/>
  <c r="E55" i="7"/>
  <c r="F54" i="7"/>
  <c r="E54" i="7"/>
  <c r="F53" i="7"/>
  <c r="E53" i="7"/>
  <c r="F52" i="7"/>
  <c r="E52" i="7"/>
  <c r="F51" i="7"/>
  <c r="E51" i="7"/>
  <c r="J44" i="7"/>
  <c r="I44" i="7"/>
  <c r="J43" i="7"/>
  <c r="I43" i="7"/>
  <c r="J42" i="7"/>
  <c r="I42" i="7"/>
  <c r="J41" i="7"/>
  <c r="I41" i="7"/>
  <c r="J40" i="7"/>
  <c r="I40" i="7"/>
  <c r="J39" i="7"/>
  <c r="I39" i="7"/>
  <c r="J38" i="7"/>
  <c r="I38" i="7"/>
  <c r="J37" i="7"/>
  <c r="I37" i="7"/>
  <c r="J36" i="7"/>
  <c r="I36" i="7"/>
  <c r="J35" i="7"/>
  <c r="I35" i="7"/>
  <c r="J34" i="7"/>
  <c r="I34" i="7"/>
  <c r="J33" i="7"/>
  <c r="I33" i="7"/>
  <c r="J32" i="7"/>
  <c r="I32" i="7"/>
  <c r="J31" i="7"/>
  <c r="I31" i="7"/>
  <c r="J30" i="7"/>
  <c r="I30" i="7"/>
  <c r="J29" i="7"/>
  <c r="I29" i="7"/>
  <c r="E44" i="7"/>
  <c r="F44" i="7"/>
  <c r="E30" i="7"/>
  <c r="F30" i="7"/>
  <c r="E31" i="7"/>
  <c r="F31" i="7"/>
  <c r="E32" i="7"/>
  <c r="F32" i="7"/>
  <c r="E33" i="7"/>
  <c r="F33" i="7"/>
  <c r="E34" i="7"/>
  <c r="F34" i="7"/>
  <c r="E35" i="7"/>
  <c r="F35" i="7"/>
  <c r="E36" i="7"/>
  <c r="F36" i="7"/>
  <c r="E37" i="7"/>
  <c r="F37" i="7"/>
  <c r="E38" i="7"/>
  <c r="F38" i="7"/>
  <c r="E39" i="7"/>
  <c r="F39" i="7"/>
  <c r="E40" i="7"/>
  <c r="F40" i="7"/>
  <c r="E41" i="7"/>
  <c r="F41" i="7"/>
  <c r="E42" i="7"/>
  <c r="F42" i="7"/>
  <c r="E43" i="7"/>
  <c r="F43" i="7"/>
  <c r="F29" i="7"/>
  <c r="E29" i="7"/>
  <c r="E7" i="7"/>
  <c r="F7" i="7"/>
  <c r="E8" i="7"/>
  <c r="F8" i="7"/>
  <c r="E10" i="7"/>
  <c r="F10" i="7"/>
  <c r="E11" i="7"/>
  <c r="F11" i="7"/>
  <c r="E12" i="7"/>
  <c r="F12" i="7"/>
  <c r="E13" i="7"/>
  <c r="F13" i="7"/>
  <c r="E14" i="7"/>
  <c r="F14" i="7"/>
  <c r="E15" i="7"/>
  <c r="F15" i="7"/>
  <c r="E16" i="7"/>
  <c r="F16" i="7"/>
  <c r="E17" i="7"/>
  <c r="F17" i="7"/>
  <c r="E18" i="7"/>
  <c r="F18" i="7"/>
  <c r="E19" i="7"/>
  <c r="F19" i="7"/>
  <c r="E20" i="7"/>
  <c r="F20" i="7"/>
  <c r="E21" i="7"/>
  <c r="F21" i="7"/>
  <c r="E22" i="7"/>
  <c r="F22" i="7"/>
  <c r="H7" i="7"/>
  <c r="I7" i="7" s="1"/>
  <c r="H8" i="7"/>
  <c r="I8" i="7" s="1"/>
  <c r="H9" i="7"/>
  <c r="I9" i="7"/>
  <c r="H10" i="7"/>
  <c r="I10" i="7" s="1"/>
  <c r="H11" i="7"/>
  <c r="I11" i="7" s="1"/>
  <c r="H12" i="7"/>
  <c r="I12" i="7" s="1"/>
  <c r="H13" i="7"/>
  <c r="I13" i="7"/>
  <c r="H14" i="7"/>
  <c r="I14" i="7" s="1"/>
  <c r="H15" i="7"/>
  <c r="I15" i="7" s="1"/>
  <c r="H16" i="7"/>
  <c r="I16" i="7" s="1"/>
  <c r="H17" i="7"/>
  <c r="I17" i="7"/>
  <c r="H18" i="7"/>
  <c r="I18" i="7" s="1"/>
  <c r="H19" i="7"/>
  <c r="I19" i="7" s="1"/>
  <c r="H20" i="7"/>
  <c r="I20" i="7" s="1"/>
  <c r="H21" i="7"/>
  <c r="I21" i="7"/>
  <c r="H22" i="7"/>
  <c r="I22" i="7" s="1"/>
  <c r="J328" i="6"/>
  <c r="I328" i="6"/>
  <c r="J327" i="6"/>
  <c r="I327" i="6"/>
  <c r="J326" i="6"/>
  <c r="I326" i="6"/>
  <c r="J325" i="6"/>
  <c r="I325" i="6"/>
  <c r="J324" i="6"/>
  <c r="I324" i="6"/>
  <c r="J323" i="6"/>
  <c r="I323" i="6"/>
  <c r="J322" i="6"/>
  <c r="I322" i="6"/>
  <c r="J321" i="6"/>
  <c r="I321" i="6"/>
  <c r="J320" i="6"/>
  <c r="I320" i="6"/>
  <c r="J319" i="6"/>
  <c r="I319" i="6"/>
  <c r="J318" i="6"/>
  <c r="I318" i="6"/>
  <c r="J317" i="6"/>
  <c r="I317" i="6"/>
  <c r="J316" i="6"/>
  <c r="I316" i="6"/>
  <c r="J315" i="6"/>
  <c r="I315" i="6"/>
  <c r="J314" i="6"/>
  <c r="I314" i="6"/>
  <c r="J313" i="6"/>
  <c r="I313" i="6"/>
  <c r="J312" i="6"/>
  <c r="I312" i="6"/>
  <c r="J311" i="6"/>
  <c r="I311" i="6"/>
  <c r="J310" i="6"/>
  <c r="I310" i="6"/>
  <c r="J309" i="6"/>
  <c r="I309" i="6"/>
  <c r="J308" i="6"/>
  <c r="I308" i="6"/>
  <c r="J307" i="6"/>
  <c r="I307" i="6"/>
  <c r="J306" i="6"/>
  <c r="I306" i="6"/>
  <c r="J305" i="6"/>
  <c r="I305" i="6"/>
  <c r="J304" i="6"/>
  <c r="I304" i="6"/>
  <c r="J303" i="6"/>
  <c r="I303" i="6"/>
  <c r="J302" i="6"/>
  <c r="I302" i="6"/>
  <c r="J301" i="6"/>
  <c r="I301" i="6"/>
  <c r="J300" i="6"/>
  <c r="I300" i="6"/>
  <c r="J299" i="6"/>
  <c r="I299" i="6"/>
  <c r="J298" i="6"/>
  <c r="I298" i="6"/>
  <c r="J297" i="6"/>
  <c r="I297" i="6"/>
  <c r="J296" i="6"/>
  <c r="I296" i="6"/>
  <c r="J295" i="6"/>
  <c r="I295" i="6"/>
  <c r="J294" i="6"/>
  <c r="I294" i="6"/>
  <c r="F328" i="6"/>
  <c r="E328" i="6"/>
  <c r="F327" i="6"/>
  <c r="E327" i="6"/>
  <c r="F326" i="6"/>
  <c r="E326" i="6"/>
  <c r="F325" i="6"/>
  <c r="E325" i="6"/>
  <c r="F324" i="6"/>
  <c r="E324" i="6"/>
  <c r="F323" i="6"/>
  <c r="E323" i="6"/>
  <c r="F322" i="6"/>
  <c r="E322" i="6"/>
  <c r="F321" i="6"/>
  <c r="E321" i="6"/>
  <c r="F320" i="6"/>
  <c r="E320" i="6"/>
  <c r="F319" i="6"/>
  <c r="E319" i="6"/>
  <c r="F318" i="6"/>
  <c r="E318" i="6"/>
  <c r="F317" i="6"/>
  <c r="E317" i="6"/>
  <c r="F316" i="6"/>
  <c r="E316" i="6"/>
  <c r="F315" i="6"/>
  <c r="E315" i="6"/>
  <c r="F314" i="6"/>
  <c r="E314" i="6"/>
  <c r="F313" i="6"/>
  <c r="E313" i="6"/>
  <c r="F312" i="6"/>
  <c r="E312" i="6"/>
  <c r="F311" i="6"/>
  <c r="E311" i="6"/>
  <c r="F310" i="6"/>
  <c r="E310" i="6"/>
  <c r="F309" i="6"/>
  <c r="E309" i="6"/>
  <c r="F308" i="6"/>
  <c r="E308" i="6"/>
  <c r="F307" i="6"/>
  <c r="E307" i="6"/>
  <c r="F306" i="6"/>
  <c r="E306" i="6"/>
  <c r="F305" i="6"/>
  <c r="E305" i="6"/>
  <c r="F304" i="6"/>
  <c r="E304" i="6"/>
  <c r="F303" i="6"/>
  <c r="E303" i="6"/>
  <c r="F302" i="6"/>
  <c r="E302" i="6"/>
  <c r="F301" i="6"/>
  <c r="E301" i="6"/>
  <c r="F300" i="6"/>
  <c r="E300" i="6"/>
  <c r="F299" i="6"/>
  <c r="E299" i="6"/>
  <c r="F298" i="6"/>
  <c r="E298" i="6"/>
  <c r="F297" i="6"/>
  <c r="E297" i="6"/>
  <c r="F296" i="6"/>
  <c r="E296" i="6"/>
  <c r="F295" i="6"/>
  <c r="E295" i="6"/>
  <c r="F294" i="6"/>
  <c r="E294" i="6"/>
  <c r="J287" i="6"/>
  <c r="I287" i="6"/>
  <c r="J286" i="6"/>
  <c r="I286" i="6"/>
  <c r="J285" i="6"/>
  <c r="I285" i="6"/>
  <c r="J284" i="6"/>
  <c r="I284" i="6"/>
  <c r="J283" i="6"/>
  <c r="I283" i="6"/>
  <c r="J282" i="6"/>
  <c r="I282" i="6"/>
  <c r="J281" i="6"/>
  <c r="I281" i="6"/>
  <c r="J280" i="6"/>
  <c r="I280" i="6"/>
  <c r="J279" i="6"/>
  <c r="I279" i="6"/>
  <c r="J278" i="6"/>
  <c r="I278" i="6"/>
  <c r="J277" i="6"/>
  <c r="I277" i="6"/>
  <c r="J276" i="6"/>
  <c r="I276" i="6"/>
  <c r="J275" i="6"/>
  <c r="I275" i="6"/>
  <c r="J274" i="6"/>
  <c r="I274" i="6"/>
  <c r="J273" i="6"/>
  <c r="I273" i="6"/>
  <c r="J272" i="6"/>
  <c r="I272" i="6"/>
  <c r="J271" i="6"/>
  <c r="I271" i="6"/>
  <c r="J270" i="6"/>
  <c r="I270" i="6"/>
  <c r="J269" i="6"/>
  <c r="I269" i="6"/>
  <c r="J268" i="6"/>
  <c r="I268" i="6"/>
  <c r="J267" i="6"/>
  <c r="I267" i="6"/>
  <c r="J266" i="6"/>
  <c r="I266" i="6"/>
  <c r="J265" i="6"/>
  <c r="I265" i="6"/>
  <c r="J264" i="6"/>
  <c r="I264" i="6"/>
  <c r="J263" i="6"/>
  <c r="I263" i="6"/>
  <c r="J262" i="6"/>
  <c r="I262" i="6"/>
  <c r="J261" i="6"/>
  <c r="I261" i="6"/>
  <c r="J260" i="6"/>
  <c r="I260" i="6"/>
  <c r="J259" i="6"/>
  <c r="I259" i="6"/>
  <c r="J258" i="6"/>
  <c r="I258" i="6"/>
  <c r="J257" i="6"/>
  <c r="I257" i="6"/>
  <c r="J256" i="6"/>
  <c r="I256" i="6"/>
  <c r="J255" i="6"/>
  <c r="I255" i="6"/>
  <c r="J254" i="6"/>
  <c r="I254" i="6"/>
  <c r="J253" i="6"/>
  <c r="I253" i="6"/>
  <c r="F287" i="6"/>
  <c r="E287" i="6"/>
  <c r="F286" i="6"/>
  <c r="E286" i="6"/>
  <c r="F285" i="6"/>
  <c r="E285" i="6"/>
  <c r="F284" i="6"/>
  <c r="E284" i="6"/>
  <c r="F283" i="6"/>
  <c r="E283" i="6"/>
  <c r="F282" i="6"/>
  <c r="E282" i="6"/>
  <c r="F281" i="6"/>
  <c r="E281" i="6"/>
  <c r="F280" i="6"/>
  <c r="E280" i="6"/>
  <c r="F279" i="6"/>
  <c r="E279" i="6"/>
  <c r="F278" i="6"/>
  <c r="E278" i="6"/>
  <c r="F277" i="6"/>
  <c r="E277" i="6"/>
  <c r="F276" i="6"/>
  <c r="E276" i="6"/>
  <c r="F275" i="6"/>
  <c r="E275" i="6"/>
  <c r="F274" i="6"/>
  <c r="E274" i="6"/>
  <c r="F273" i="6"/>
  <c r="E273" i="6"/>
  <c r="F272" i="6"/>
  <c r="E272" i="6"/>
  <c r="F271" i="6"/>
  <c r="E271" i="6"/>
  <c r="F270" i="6"/>
  <c r="E270" i="6"/>
  <c r="F269" i="6"/>
  <c r="E269" i="6"/>
  <c r="F268" i="6"/>
  <c r="E268" i="6"/>
  <c r="F267" i="6"/>
  <c r="E267" i="6"/>
  <c r="F266" i="6"/>
  <c r="E266" i="6"/>
  <c r="F265" i="6"/>
  <c r="E265" i="6"/>
  <c r="F264" i="6"/>
  <c r="E264" i="6"/>
  <c r="F263" i="6"/>
  <c r="E263" i="6"/>
  <c r="F262" i="6"/>
  <c r="E262" i="6"/>
  <c r="F261" i="6"/>
  <c r="E261" i="6"/>
  <c r="F260" i="6"/>
  <c r="E260" i="6"/>
  <c r="F259" i="6"/>
  <c r="E259" i="6"/>
  <c r="F258" i="6"/>
  <c r="E258" i="6"/>
  <c r="F257" i="6"/>
  <c r="E257" i="6"/>
  <c r="F256" i="6"/>
  <c r="E256" i="6"/>
  <c r="F255" i="6"/>
  <c r="E255" i="6"/>
  <c r="F254" i="6"/>
  <c r="E254" i="6"/>
  <c r="F253" i="6"/>
  <c r="E253" i="6"/>
  <c r="J246" i="6"/>
  <c r="I246" i="6"/>
  <c r="J245" i="6"/>
  <c r="I245" i="6"/>
  <c r="J244" i="6"/>
  <c r="I244" i="6"/>
  <c r="J243" i="6"/>
  <c r="I243" i="6"/>
  <c r="J242" i="6"/>
  <c r="I242" i="6"/>
  <c r="J241" i="6"/>
  <c r="I241" i="6"/>
  <c r="J240" i="6"/>
  <c r="I240" i="6"/>
  <c r="J239" i="6"/>
  <c r="I239" i="6"/>
  <c r="J238" i="6"/>
  <c r="I238" i="6"/>
  <c r="J237" i="6"/>
  <c r="I237" i="6"/>
  <c r="J236" i="6"/>
  <c r="I236" i="6"/>
  <c r="J235" i="6"/>
  <c r="I235" i="6"/>
  <c r="J234" i="6"/>
  <c r="I234" i="6"/>
  <c r="J233" i="6"/>
  <c r="I233" i="6"/>
  <c r="J232" i="6"/>
  <c r="I232" i="6"/>
  <c r="J231" i="6"/>
  <c r="I231" i="6"/>
  <c r="J230" i="6"/>
  <c r="I230" i="6"/>
  <c r="J229" i="6"/>
  <c r="I229" i="6"/>
  <c r="J228" i="6"/>
  <c r="I228" i="6"/>
  <c r="J227" i="6"/>
  <c r="I227" i="6"/>
  <c r="J226" i="6"/>
  <c r="I226" i="6"/>
  <c r="J225" i="6"/>
  <c r="I225" i="6"/>
  <c r="J224" i="6"/>
  <c r="I224" i="6"/>
  <c r="J223" i="6"/>
  <c r="I223" i="6"/>
  <c r="J222" i="6"/>
  <c r="I222" i="6"/>
  <c r="J221" i="6"/>
  <c r="I221" i="6"/>
  <c r="J220" i="6"/>
  <c r="I220" i="6"/>
  <c r="J219" i="6"/>
  <c r="I219" i="6"/>
  <c r="J218" i="6"/>
  <c r="I218" i="6"/>
  <c r="J217" i="6"/>
  <c r="I217" i="6"/>
  <c r="J216" i="6"/>
  <c r="I216" i="6"/>
  <c r="J215" i="6"/>
  <c r="I215" i="6"/>
  <c r="J214" i="6"/>
  <c r="I214" i="6"/>
  <c r="J213" i="6"/>
  <c r="I213" i="6"/>
  <c r="J212" i="6"/>
  <c r="I212" i="6"/>
  <c r="F246" i="6"/>
  <c r="E246" i="6"/>
  <c r="F245" i="6"/>
  <c r="E245" i="6"/>
  <c r="F244" i="6"/>
  <c r="E244" i="6"/>
  <c r="F243" i="6"/>
  <c r="E243" i="6"/>
  <c r="F242" i="6"/>
  <c r="E242" i="6"/>
  <c r="F241" i="6"/>
  <c r="E241" i="6"/>
  <c r="F240" i="6"/>
  <c r="E240" i="6"/>
  <c r="F239" i="6"/>
  <c r="E239" i="6"/>
  <c r="F238" i="6"/>
  <c r="E238" i="6"/>
  <c r="F237" i="6"/>
  <c r="E237" i="6"/>
  <c r="F236" i="6"/>
  <c r="E236" i="6"/>
  <c r="F235" i="6"/>
  <c r="E235" i="6"/>
  <c r="F234" i="6"/>
  <c r="E234" i="6"/>
  <c r="F233" i="6"/>
  <c r="E233" i="6"/>
  <c r="F232" i="6"/>
  <c r="E232" i="6"/>
  <c r="F231" i="6"/>
  <c r="E231" i="6"/>
  <c r="F230" i="6"/>
  <c r="E230" i="6"/>
  <c r="F229" i="6"/>
  <c r="E229" i="6"/>
  <c r="F228" i="6"/>
  <c r="E228" i="6"/>
  <c r="F227" i="6"/>
  <c r="E227" i="6"/>
  <c r="F226" i="6"/>
  <c r="E226" i="6"/>
  <c r="F225" i="6"/>
  <c r="E225" i="6"/>
  <c r="F224" i="6"/>
  <c r="E224" i="6"/>
  <c r="F223" i="6"/>
  <c r="E223" i="6"/>
  <c r="F222" i="6"/>
  <c r="E222" i="6"/>
  <c r="F221" i="6"/>
  <c r="E221" i="6"/>
  <c r="F220" i="6"/>
  <c r="E220" i="6"/>
  <c r="F219" i="6"/>
  <c r="E219" i="6"/>
  <c r="F218" i="6"/>
  <c r="E218" i="6"/>
  <c r="F217" i="6"/>
  <c r="E217" i="6"/>
  <c r="F216" i="6"/>
  <c r="E216" i="6"/>
  <c r="F215" i="6"/>
  <c r="E215" i="6"/>
  <c r="F214" i="6"/>
  <c r="E214" i="6"/>
  <c r="F213" i="6"/>
  <c r="E213" i="6"/>
  <c r="F212" i="6"/>
  <c r="E212" i="6"/>
  <c r="J205" i="6"/>
  <c r="I205" i="6"/>
  <c r="J204" i="6"/>
  <c r="I204" i="6"/>
  <c r="J203" i="6"/>
  <c r="I203" i="6"/>
  <c r="J202" i="6"/>
  <c r="I202" i="6"/>
  <c r="J201" i="6"/>
  <c r="I201" i="6"/>
  <c r="J200" i="6"/>
  <c r="I200" i="6"/>
  <c r="J199" i="6"/>
  <c r="I199" i="6"/>
  <c r="J198" i="6"/>
  <c r="I198" i="6"/>
  <c r="J197" i="6"/>
  <c r="I197" i="6"/>
  <c r="J196" i="6"/>
  <c r="I196" i="6"/>
  <c r="J195" i="6"/>
  <c r="I195" i="6"/>
  <c r="J194" i="6"/>
  <c r="I194" i="6"/>
  <c r="J193" i="6"/>
  <c r="I193" i="6"/>
  <c r="J192" i="6"/>
  <c r="I192" i="6"/>
  <c r="J191" i="6"/>
  <c r="I191" i="6"/>
  <c r="J190" i="6"/>
  <c r="I190" i="6"/>
  <c r="J189" i="6"/>
  <c r="I189" i="6"/>
  <c r="J188" i="6"/>
  <c r="I188" i="6"/>
  <c r="J187" i="6"/>
  <c r="I187" i="6"/>
  <c r="J186" i="6"/>
  <c r="I186" i="6"/>
  <c r="J185" i="6"/>
  <c r="I185" i="6"/>
  <c r="J184" i="6"/>
  <c r="I184" i="6"/>
  <c r="J183" i="6"/>
  <c r="I183" i="6"/>
  <c r="J182" i="6"/>
  <c r="I182" i="6"/>
  <c r="J181" i="6"/>
  <c r="I181" i="6"/>
  <c r="J180" i="6"/>
  <c r="I180" i="6"/>
  <c r="J179" i="6"/>
  <c r="I179" i="6"/>
  <c r="J178" i="6"/>
  <c r="I178" i="6"/>
  <c r="J177" i="6"/>
  <c r="I177" i="6"/>
  <c r="J176" i="6"/>
  <c r="I176" i="6"/>
  <c r="J175" i="6"/>
  <c r="I175" i="6"/>
  <c r="J174" i="6"/>
  <c r="I174" i="6"/>
  <c r="J173" i="6"/>
  <c r="I173" i="6"/>
  <c r="J172" i="6"/>
  <c r="I172" i="6"/>
  <c r="J171" i="6"/>
  <c r="I171" i="6"/>
  <c r="F205" i="6"/>
  <c r="E205" i="6"/>
  <c r="F204" i="6"/>
  <c r="E204" i="6"/>
  <c r="F203" i="6"/>
  <c r="E203" i="6"/>
  <c r="F202" i="6"/>
  <c r="E202" i="6"/>
  <c r="F201" i="6"/>
  <c r="E201" i="6"/>
  <c r="F200" i="6"/>
  <c r="E200" i="6"/>
  <c r="F199" i="6"/>
  <c r="E199" i="6"/>
  <c r="F198" i="6"/>
  <c r="E198" i="6"/>
  <c r="F197" i="6"/>
  <c r="E197" i="6"/>
  <c r="F196" i="6"/>
  <c r="E196" i="6"/>
  <c r="F195" i="6"/>
  <c r="E195" i="6"/>
  <c r="F194" i="6"/>
  <c r="E194" i="6"/>
  <c r="F193" i="6"/>
  <c r="E193" i="6"/>
  <c r="F192" i="6"/>
  <c r="E192" i="6"/>
  <c r="F191" i="6"/>
  <c r="E191" i="6"/>
  <c r="F190" i="6"/>
  <c r="E190" i="6"/>
  <c r="F189" i="6"/>
  <c r="E189" i="6"/>
  <c r="F188" i="6"/>
  <c r="E188" i="6"/>
  <c r="F187" i="6"/>
  <c r="E187" i="6"/>
  <c r="F186" i="6"/>
  <c r="E186" i="6"/>
  <c r="F185" i="6"/>
  <c r="E185" i="6"/>
  <c r="F184" i="6"/>
  <c r="E184" i="6"/>
  <c r="F183" i="6"/>
  <c r="E183" i="6"/>
  <c r="F182" i="6"/>
  <c r="E182" i="6"/>
  <c r="F181" i="6"/>
  <c r="E181" i="6"/>
  <c r="F180" i="6"/>
  <c r="E180" i="6"/>
  <c r="F179" i="6"/>
  <c r="E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J164" i="6"/>
  <c r="I164" i="6"/>
  <c r="J163" i="6"/>
  <c r="I163" i="6"/>
  <c r="J162" i="6"/>
  <c r="I162" i="6"/>
  <c r="J161" i="6"/>
  <c r="I161" i="6"/>
  <c r="J160" i="6"/>
  <c r="I160" i="6"/>
  <c r="J159" i="6"/>
  <c r="I159" i="6"/>
  <c r="J158" i="6"/>
  <c r="I158" i="6"/>
  <c r="J157" i="6"/>
  <c r="I157" i="6"/>
  <c r="J156" i="6"/>
  <c r="I156" i="6"/>
  <c r="J155" i="6"/>
  <c r="I155" i="6"/>
  <c r="J154" i="6"/>
  <c r="I154" i="6"/>
  <c r="J153" i="6"/>
  <c r="I153" i="6"/>
  <c r="J152" i="6"/>
  <c r="I152" i="6"/>
  <c r="J151" i="6"/>
  <c r="I151" i="6"/>
  <c r="J150" i="6"/>
  <c r="I150" i="6"/>
  <c r="J149" i="6"/>
  <c r="I149" i="6"/>
  <c r="J148" i="6"/>
  <c r="I148" i="6"/>
  <c r="J147" i="6"/>
  <c r="I147" i="6"/>
  <c r="J146" i="6"/>
  <c r="I146" i="6"/>
  <c r="J145" i="6"/>
  <c r="I145" i="6"/>
  <c r="J144" i="6"/>
  <c r="I144" i="6"/>
  <c r="J143" i="6"/>
  <c r="I143" i="6"/>
  <c r="J142" i="6"/>
  <c r="I142" i="6"/>
  <c r="J141" i="6"/>
  <c r="I141" i="6"/>
  <c r="J140" i="6"/>
  <c r="I140" i="6"/>
  <c r="J139" i="6"/>
  <c r="I139" i="6"/>
  <c r="J138" i="6"/>
  <c r="I138" i="6"/>
  <c r="J137" i="6"/>
  <c r="I137" i="6"/>
  <c r="J136" i="6"/>
  <c r="I136" i="6"/>
  <c r="J135" i="6"/>
  <c r="I135" i="6"/>
  <c r="J134" i="6"/>
  <c r="I134" i="6"/>
  <c r="J133" i="6"/>
  <c r="I133" i="6"/>
  <c r="J132" i="6"/>
  <c r="I132" i="6"/>
  <c r="J131" i="6"/>
  <c r="I131" i="6"/>
  <c r="J130" i="6"/>
  <c r="I130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F154" i="6"/>
  <c r="E154" i="6"/>
  <c r="F153" i="6"/>
  <c r="E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F141" i="6"/>
  <c r="E141" i="6"/>
  <c r="F140" i="6"/>
  <c r="E140" i="6"/>
  <c r="F139" i="6"/>
  <c r="E139" i="6"/>
  <c r="F138" i="6"/>
  <c r="E138" i="6"/>
  <c r="F137" i="6"/>
  <c r="E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F112" i="6"/>
  <c r="E112" i="6"/>
  <c r="F111" i="6"/>
  <c r="E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9" i="6"/>
  <c r="E99" i="6"/>
  <c r="F98" i="6"/>
  <c r="E98" i="6"/>
  <c r="F97" i="6"/>
  <c r="E97" i="6"/>
  <c r="F96" i="6"/>
  <c r="E96" i="6"/>
  <c r="F95" i="6"/>
  <c r="E95" i="6"/>
  <c r="F94" i="6"/>
  <c r="E94" i="6"/>
  <c r="F93" i="6"/>
  <c r="E93" i="6"/>
  <c r="F92" i="6"/>
  <c r="E92" i="6"/>
  <c r="F91" i="6"/>
  <c r="E91" i="6"/>
  <c r="F90" i="6"/>
  <c r="E90" i="6"/>
  <c r="F89" i="6"/>
  <c r="E89" i="6"/>
  <c r="J123" i="6"/>
  <c r="I123" i="6"/>
  <c r="J122" i="6"/>
  <c r="I122" i="6"/>
  <c r="J121" i="6"/>
  <c r="I121" i="6"/>
  <c r="J120" i="6"/>
  <c r="I120" i="6"/>
  <c r="J119" i="6"/>
  <c r="I119" i="6"/>
  <c r="J118" i="6"/>
  <c r="I118" i="6"/>
  <c r="J117" i="6"/>
  <c r="I117" i="6"/>
  <c r="J116" i="6"/>
  <c r="I116" i="6"/>
  <c r="J115" i="6"/>
  <c r="I115" i="6"/>
  <c r="J114" i="6"/>
  <c r="I114" i="6"/>
  <c r="J113" i="6"/>
  <c r="I113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3" i="6"/>
  <c r="I103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3" i="6"/>
  <c r="I93" i="6"/>
  <c r="J92" i="6"/>
  <c r="I92" i="6"/>
  <c r="J91" i="6"/>
  <c r="I91" i="6"/>
  <c r="J90" i="6"/>
  <c r="I90" i="6"/>
  <c r="J89" i="6"/>
  <c r="I89" i="6"/>
  <c r="J82" i="6"/>
  <c r="I82" i="6"/>
  <c r="J81" i="6"/>
  <c r="I81" i="6"/>
  <c r="J80" i="6"/>
  <c r="I80" i="6"/>
  <c r="J79" i="6"/>
  <c r="I79" i="6"/>
  <c r="J78" i="6"/>
  <c r="I78" i="6"/>
  <c r="J77" i="6"/>
  <c r="I77" i="6"/>
  <c r="J76" i="6"/>
  <c r="I76" i="6"/>
  <c r="J75" i="6"/>
  <c r="I75" i="6"/>
  <c r="J74" i="6"/>
  <c r="I74" i="6"/>
  <c r="J73" i="6"/>
  <c r="I73" i="6"/>
  <c r="J72" i="6"/>
  <c r="I72" i="6"/>
  <c r="J71" i="6"/>
  <c r="I71" i="6"/>
  <c r="J70" i="6"/>
  <c r="I70" i="6"/>
  <c r="J69" i="6"/>
  <c r="I69" i="6"/>
  <c r="J68" i="6"/>
  <c r="I68" i="6"/>
  <c r="J67" i="6"/>
  <c r="I67" i="6"/>
  <c r="J66" i="6"/>
  <c r="I66" i="6"/>
  <c r="J65" i="6"/>
  <c r="I65" i="6"/>
  <c r="J64" i="6"/>
  <c r="I64" i="6"/>
  <c r="J63" i="6"/>
  <c r="I63" i="6"/>
  <c r="J62" i="6"/>
  <c r="I62" i="6"/>
  <c r="J61" i="6"/>
  <c r="I61" i="6"/>
  <c r="J60" i="6"/>
  <c r="I60" i="6"/>
  <c r="J59" i="6"/>
  <c r="I59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9" i="6"/>
  <c r="I49" i="6"/>
  <c r="J48" i="6"/>
  <c r="I48" i="6"/>
  <c r="F82" i="6"/>
  <c r="E82" i="6"/>
  <c r="F81" i="6"/>
  <c r="E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F69" i="6"/>
  <c r="E69" i="6"/>
  <c r="F68" i="6"/>
  <c r="E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I7" i="6"/>
  <c r="J7" i="6"/>
  <c r="E7" i="6"/>
  <c r="F7" i="6"/>
  <c r="E28" i="6"/>
  <c r="F28" i="6"/>
  <c r="E29" i="6"/>
  <c r="F29" i="6"/>
  <c r="E30" i="6"/>
  <c r="F30" i="6"/>
  <c r="E31" i="6"/>
  <c r="F31" i="6"/>
  <c r="E32" i="6"/>
  <c r="F32" i="6"/>
  <c r="E33" i="6"/>
  <c r="F33" i="6"/>
  <c r="E34" i="6"/>
  <c r="F34" i="6"/>
  <c r="E35" i="6"/>
  <c r="F35" i="6"/>
  <c r="E36" i="6"/>
  <c r="F36" i="6"/>
  <c r="E37" i="6"/>
  <c r="F37" i="6"/>
  <c r="E38" i="6"/>
  <c r="F38" i="6"/>
  <c r="E39" i="6"/>
  <c r="F39" i="6"/>
  <c r="E40" i="6"/>
  <c r="F40" i="6"/>
  <c r="E41" i="6"/>
  <c r="F41" i="6"/>
  <c r="E13" i="6"/>
  <c r="F13" i="6"/>
  <c r="E14" i="6"/>
  <c r="F14" i="6"/>
  <c r="E15" i="6"/>
  <c r="F15" i="6"/>
  <c r="E16" i="6"/>
  <c r="F16" i="6"/>
  <c r="E17" i="6"/>
  <c r="F17" i="6"/>
  <c r="E18" i="6"/>
  <c r="F18" i="6"/>
  <c r="E19" i="6"/>
  <c r="F19" i="6"/>
  <c r="E20" i="6"/>
  <c r="F20" i="6"/>
  <c r="E21" i="6"/>
  <c r="F21" i="6"/>
  <c r="E22" i="6"/>
  <c r="F22" i="6"/>
  <c r="E23" i="6"/>
  <c r="F23" i="6"/>
  <c r="E24" i="6"/>
  <c r="F24" i="6"/>
  <c r="E25" i="6"/>
  <c r="F25" i="6"/>
  <c r="E26" i="6"/>
  <c r="F26" i="6"/>
  <c r="E27" i="6"/>
  <c r="F27" i="6"/>
  <c r="E11" i="6"/>
  <c r="F11" i="6"/>
  <c r="E12" i="6"/>
  <c r="F12" i="6"/>
  <c r="E9" i="6"/>
  <c r="F9" i="6"/>
  <c r="E10" i="6"/>
  <c r="F10" i="6"/>
  <c r="F8" i="6"/>
  <c r="E8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I28" i="6"/>
  <c r="H28" i="6"/>
  <c r="H29" i="6"/>
  <c r="H30" i="6"/>
  <c r="H31" i="6"/>
  <c r="H32" i="6"/>
  <c r="G32" i="6"/>
  <c r="G29" i="6"/>
  <c r="G30" i="6"/>
  <c r="G31" i="6"/>
  <c r="G28" i="6"/>
  <c r="C29" i="6"/>
  <c r="D29" i="6"/>
  <c r="C30" i="6"/>
  <c r="D30" i="6"/>
  <c r="C31" i="6"/>
  <c r="D31" i="6"/>
  <c r="C32" i="6"/>
  <c r="D32" i="6"/>
  <c r="D28" i="6"/>
  <c r="C28" i="6"/>
  <c r="C27" i="6"/>
  <c r="D8" i="4"/>
  <c r="F8" i="4"/>
  <c r="J8" i="4" l="1"/>
  <c r="H8" i="4"/>
  <c r="X18" i="8"/>
  <c r="X17" i="8"/>
  <c r="H15" i="13"/>
  <c r="G15" i="13"/>
  <c r="D15" i="13"/>
  <c r="C15" i="13"/>
  <c r="D14" i="16"/>
  <c r="H158" i="7"/>
  <c r="G158" i="7"/>
  <c r="D158" i="7"/>
  <c r="C158" i="7"/>
  <c r="H136" i="7"/>
  <c r="G136" i="7"/>
  <c r="D136" i="7"/>
  <c r="C136" i="7"/>
  <c r="H114" i="7"/>
  <c r="G114" i="7"/>
  <c r="D114" i="7"/>
  <c r="C114" i="7"/>
  <c r="H92" i="7"/>
  <c r="G92" i="7"/>
  <c r="D92" i="7"/>
  <c r="C92" i="7"/>
  <c r="H70" i="7"/>
  <c r="G70" i="7"/>
  <c r="D70" i="7"/>
  <c r="C70" i="7"/>
  <c r="H48" i="7"/>
  <c r="G48" i="7"/>
  <c r="D48" i="7"/>
  <c r="C48" i="7"/>
  <c r="H26" i="7"/>
  <c r="G26" i="7"/>
  <c r="D26" i="7"/>
  <c r="C26" i="7"/>
  <c r="H291" i="6"/>
  <c r="G291" i="6"/>
  <c r="D291" i="6"/>
  <c r="C291" i="6"/>
  <c r="H250" i="6"/>
  <c r="G250" i="6"/>
  <c r="D250" i="6"/>
  <c r="C250" i="6"/>
  <c r="H209" i="6"/>
  <c r="G209" i="6"/>
  <c r="D209" i="6"/>
  <c r="C209" i="6"/>
  <c r="H168" i="6"/>
  <c r="G168" i="6"/>
  <c r="D168" i="6"/>
  <c r="C168" i="6"/>
  <c r="H127" i="6"/>
  <c r="G127" i="6"/>
  <c r="D127" i="6"/>
  <c r="C127" i="6"/>
  <c r="H86" i="6"/>
  <c r="G86" i="6"/>
  <c r="D86" i="6"/>
  <c r="C86" i="6"/>
  <c r="H45" i="6"/>
  <c r="G45" i="6"/>
  <c r="D45" i="6"/>
  <c r="C45" i="6"/>
  <c r="J8" i="18"/>
  <c r="J11" i="18"/>
  <c r="J15" i="18"/>
  <c r="I19" i="18"/>
  <c r="J22" i="18"/>
  <c r="I22" i="18"/>
  <c r="J21" i="18"/>
  <c r="I21" i="18"/>
  <c r="J20" i="18"/>
  <c r="I20" i="18"/>
  <c r="J18" i="18"/>
  <c r="I18" i="18"/>
  <c r="J17" i="18"/>
  <c r="I17" i="18"/>
  <c r="J16" i="18"/>
  <c r="I16" i="18"/>
  <c r="I15" i="18"/>
  <c r="J14" i="18"/>
  <c r="I14" i="18"/>
  <c r="J13" i="18"/>
  <c r="I13" i="18"/>
  <c r="J12" i="18"/>
  <c r="I12" i="18"/>
  <c r="J7" i="18"/>
  <c r="I7" i="18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33" i="6"/>
  <c r="D34" i="6"/>
  <c r="D35" i="6"/>
  <c r="D36" i="6"/>
  <c r="D37" i="6"/>
  <c r="D38" i="6"/>
  <c r="D39" i="6"/>
  <c r="D40" i="6"/>
  <c r="D41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33" i="6"/>
  <c r="C34" i="6"/>
  <c r="C35" i="6"/>
  <c r="C36" i="6"/>
  <c r="C37" i="6"/>
  <c r="C38" i="6"/>
  <c r="C39" i="6"/>
  <c r="C40" i="6"/>
  <c r="C41" i="6"/>
  <c r="H14" i="15"/>
  <c r="I14" i="15"/>
  <c r="J14" i="15"/>
  <c r="K14" i="15"/>
  <c r="L14" i="15"/>
  <c r="M14" i="15"/>
  <c r="N14" i="15"/>
  <c r="O14" i="15"/>
  <c r="P14" i="15"/>
  <c r="C14" i="15"/>
  <c r="D14" i="15"/>
  <c r="G14" i="15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C8" i="7"/>
  <c r="D8" i="7"/>
  <c r="C9" i="7"/>
  <c r="D9" i="7"/>
  <c r="C10" i="7"/>
  <c r="D10" i="7"/>
  <c r="C11" i="7"/>
  <c r="D11" i="7"/>
  <c r="C12" i="7"/>
  <c r="D12" i="7"/>
  <c r="C13" i="7"/>
  <c r="D13" i="7"/>
  <c r="C14" i="7"/>
  <c r="D14" i="7"/>
  <c r="C15" i="7"/>
  <c r="D15" i="7"/>
  <c r="C16" i="7"/>
  <c r="D16" i="7"/>
  <c r="C17" i="7"/>
  <c r="D17" i="7"/>
  <c r="C18" i="7"/>
  <c r="D18" i="7"/>
  <c r="C19" i="7"/>
  <c r="D19" i="7"/>
  <c r="C20" i="7"/>
  <c r="D20" i="7"/>
  <c r="C21" i="7"/>
  <c r="D21" i="7"/>
  <c r="C22" i="7"/>
  <c r="D22" i="7"/>
  <c r="D7" i="7"/>
  <c r="C7" i="7"/>
  <c r="G8" i="6"/>
  <c r="H8" i="6"/>
  <c r="G9" i="6"/>
  <c r="H9" i="6"/>
  <c r="G10" i="6"/>
  <c r="H10" i="6"/>
  <c r="G11" i="6"/>
  <c r="H11" i="6"/>
  <c r="G12" i="6"/>
  <c r="H12" i="6"/>
  <c r="G13" i="6"/>
  <c r="H13" i="6"/>
  <c r="G14" i="6"/>
  <c r="H14" i="6"/>
  <c r="G15" i="6"/>
  <c r="H15" i="6"/>
  <c r="G16" i="6"/>
  <c r="H16" i="6"/>
  <c r="G17" i="6"/>
  <c r="H17" i="6"/>
  <c r="G18" i="6"/>
  <c r="H18" i="6"/>
  <c r="G19" i="6"/>
  <c r="H19" i="6"/>
  <c r="G20" i="6"/>
  <c r="H20" i="6"/>
  <c r="G21" i="6"/>
  <c r="H21" i="6"/>
  <c r="G22" i="6"/>
  <c r="H22" i="6"/>
  <c r="G23" i="6"/>
  <c r="H23" i="6"/>
  <c r="G24" i="6"/>
  <c r="H24" i="6"/>
  <c r="G25" i="6"/>
  <c r="H25" i="6"/>
  <c r="G26" i="6"/>
  <c r="H26" i="6"/>
  <c r="G27" i="6"/>
  <c r="H27" i="6"/>
  <c r="G33" i="6"/>
  <c r="H33" i="6"/>
  <c r="G34" i="6"/>
  <c r="H34" i="6"/>
  <c r="G35" i="6"/>
  <c r="H35" i="6"/>
  <c r="G36" i="6"/>
  <c r="H36" i="6"/>
  <c r="G37" i="6"/>
  <c r="H37" i="6"/>
  <c r="G38" i="6"/>
  <c r="H38" i="6"/>
  <c r="G39" i="6"/>
  <c r="H39" i="6"/>
  <c r="G40" i="6"/>
  <c r="H40" i="6"/>
  <c r="G41" i="6"/>
  <c r="H41" i="6"/>
  <c r="D7" i="6"/>
  <c r="G7" i="6"/>
  <c r="H7" i="6"/>
  <c r="C7" i="6"/>
  <c r="C8" i="4"/>
  <c r="E8" i="4"/>
  <c r="E11" i="4" s="1"/>
  <c r="C9" i="4"/>
  <c r="D9" i="4"/>
  <c r="D11" i="4" s="1"/>
  <c r="E9" i="4"/>
  <c r="F9" i="4"/>
  <c r="C10" i="4"/>
  <c r="D10" i="4"/>
  <c r="E10" i="4"/>
  <c r="F10" i="4"/>
  <c r="I9" i="4" l="1"/>
  <c r="G9" i="4"/>
  <c r="G10" i="4"/>
  <c r="I10" i="4"/>
  <c r="H9" i="4"/>
  <c r="J9" i="4"/>
  <c r="H11" i="4"/>
  <c r="J11" i="4"/>
  <c r="C11" i="4"/>
  <c r="G8" i="4"/>
  <c r="I8" i="4"/>
  <c r="E9" i="7"/>
  <c r="F9" i="7"/>
  <c r="I11" i="18"/>
  <c r="J10" i="18"/>
  <c r="I10" i="18"/>
  <c r="J9" i="18"/>
  <c r="I9" i="18"/>
  <c r="J12" i="7"/>
  <c r="J22" i="7"/>
  <c r="J19" i="7"/>
  <c r="J15" i="7"/>
  <c r="J13" i="7"/>
  <c r="J21" i="7"/>
  <c r="J20" i="7"/>
  <c r="J18" i="7"/>
  <c r="J17" i="7"/>
  <c r="J16" i="7"/>
  <c r="J14" i="7"/>
  <c r="J11" i="7"/>
  <c r="J10" i="7"/>
  <c r="J9" i="7"/>
  <c r="J8" i="7"/>
  <c r="J7" i="7"/>
  <c r="I8" i="18"/>
  <c r="J19" i="18"/>
  <c r="D4" i="16"/>
  <c r="C4" i="16"/>
  <c r="D4" i="13"/>
  <c r="C4" i="13"/>
  <c r="D5" i="6"/>
  <c r="C5" i="6"/>
  <c r="C4" i="5"/>
  <c r="D4" i="5"/>
  <c r="D4" i="2"/>
  <c r="C4" i="2"/>
  <c r="D4" i="1"/>
  <c r="C4" i="1"/>
  <c r="D159" i="18"/>
  <c r="C159" i="18"/>
  <c r="D137" i="18"/>
  <c r="C137" i="18"/>
  <c r="D115" i="18"/>
  <c r="C115" i="18"/>
  <c r="D93" i="18"/>
  <c r="C93" i="18"/>
  <c r="D71" i="18"/>
  <c r="C71" i="18"/>
  <c r="D49" i="18"/>
  <c r="C49" i="18"/>
  <c r="D27" i="18"/>
  <c r="D5" i="18"/>
  <c r="C5" i="18"/>
  <c r="D4" i="10"/>
  <c r="C4" i="10"/>
  <c r="D4" i="19"/>
  <c r="C4" i="19"/>
  <c r="D4" i="3"/>
  <c r="C4" i="3"/>
  <c r="P5" i="15"/>
  <c r="O5" i="15"/>
  <c r="K5" i="15"/>
  <c r="J5" i="15"/>
  <c r="I5" i="15"/>
  <c r="H5" i="15"/>
  <c r="D5" i="15"/>
  <c r="C5" i="15"/>
  <c r="H4" i="19"/>
  <c r="G4" i="19"/>
  <c r="H4" i="18"/>
  <c r="G4" i="18"/>
  <c r="H136" i="18"/>
  <c r="G136" i="18"/>
  <c r="H114" i="18"/>
  <c r="G114" i="18"/>
  <c r="H92" i="18"/>
  <c r="G92" i="18"/>
  <c r="H70" i="18"/>
  <c r="G70" i="18"/>
  <c r="H48" i="18"/>
  <c r="G48" i="18"/>
  <c r="H26" i="18"/>
  <c r="H158" i="18"/>
  <c r="G158" i="18"/>
  <c r="M74" i="4"/>
  <c r="H14" i="16"/>
  <c r="G14" i="16"/>
  <c r="E14" i="15"/>
  <c r="F14" i="15"/>
  <c r="W8" i="8"/>
  <c r="X8" i="8"/>
  <c r="W9" i="8"/>
  <c r="X9" i="8"/>
  <c r="W10" i="8"/>
  <c r="X10" i="8"/>
  <c r="W11" i="8"/>
  <c r="X11" i="8"/>
  <c r="W12" i="8"/>
  <c r="X12" i="8"/>
  <c r="W13" i="8"/>
  <c r="X13" i="8"/>
  <c r="W14" i="8"/>
  <c r="X14" i="8"/>
  <c r="W15" i="8"/>
  <c r="X15" i="8"/>
  <c r="W16" i="8"/>
  <c r="X16" i="8"/>
  <c r="W17" i="8"/>
  <c r="W18" i="8"/>
  <c r="W19" i="8"/>
  <c r="X19" i="8"/>
  <c r="X7" i="8"/>
  <c r="W7" i="8"/>
  <c r="S8" i="8"/>
  <c r="T8" i="8"/>
  <c r="S9" i="8"/>
  <c r="T9" i="8"/>
  <c r="S10" i="8"/>
  <c r="T10" i="8"/>
  <c r="S11" i="8"/>
  <c r="T11" i="8"/>
  <c r="S12" i="8"/>
  <c r="T12" i="8"/>
  <c r="S13" i="8"/>
  <c r="T13" i="8"/>
  <c r="S14" i="8"/>
  <c r="T14" i="8"/>
  <c r="S15" i="8"/>
  <c r="T15" i="8"/>
  <c r="S16" i="8"/>
  <c r="T16" i="8"/>
  <c r="S17" i="8"/>
  <c r="T17" i="8"/>
  <c r="S18" i="8"/>
  <c r="T18" i="8"/>
  <c r="S19" i="8"/>
  <c r="T19" i="8"/>
  <c r="T7" i="8"/>
  <c r="S7" i="8"/>
  <c r="I17" i="2"/>
  <c r="J17" i="2"/>
  <c r="X4" i="8"/>
  <c r="W4" i="8"/>
  <c r="P4" i="8"/>
  <c r="O4" i="8"/>
  <c r="T5" i="8"/>
  <c r="S5" i="8"/>
  <c r="L5" i="8"/>
  <c r="K5" i="8"/>
  <c r="H4" i="8"/>
  <c r="G4" i="8"/>
  <c r="D5" i="8"/>
  <c r="C5" i="8"/>
  <c r="M4" i="4"/>
  <c r="K4" i="4"/>
  <c r="M64" i="4"/>
  <c r="K64" i="4"/>
  <c r="M54" i="4"/>
  <c r="K54" i="4"/>
  <c r="M44" i="4"/>
  <c r="K44" i="4"/>
  <c r="M34" i="4"/>
  <c r="K34" i="4"/>
  <c r="E25" i="4"/>
  <c r="M24" i="4"/>
  <c r="K24" i="4"/>
  <c r="M14" i="4"/>
  <c r="K14" i="4"/>
  <c r="K74" i="4"/>
  <c r="E5" i="4"/>
  <c r="C5" i="4"/>
  <c r="E65" i="4"/>
  <c r="C65" i="4"/>
  <c r="E55" i="4"/>
  <c r="C55" i="4"/>
  <c r="E45" i="4"/>
  <c r="C45" i="4"/>
  <c r="E35" i="4"/>
  <c r="C35" i="4"/>
  <c r="C25" i="4"/>
  <c r="E15" i="4"/>
  <c r="C15" i="4"/>
  <c r="E75" i="4"/>
  <c r="C75" i="4"/>
  <c r="H4" i="17"/>
  <c r="G4" i="17"/>
  <c r="D4" i="17"/>
  <c r="C4" i="17"/>
  <c r="H4" i="16"/>
  <c r="G4" i="16"/>
  <c r="H4" i="14"/>
  <c r="G4" i="14"/>
  <c r="D4" i="14"/>
  <c r="C4" i="14"/>
  <c r="H4" i="13"/>
  <c r="G4" i="13"/>
  <c r="H4" i="12"/>
  <c r="G4" i="12"/>
  <c r="D4" i="12"/>
  <c r="C4" i="12"/>
  <c r="H4" i="11"/>
  <c r="G4" i="11"/>
  <c r="D4" i="11"/>
  <c r="C4" i="11"/>
  <c r="H4" i="10"/>
  <c r="G4" i="10"/>
  <c r="H4" i="9"/>
  <c r="G4" i="9"/>
  <c r="D4" i="9"/>
  <c r="C4" i="9"/>
  <c r="D5" i="7"/>
  <c r="C5" i="7"/>
  <c r="H4" i="7"/>
  <c r="G4" i="7"/>
  <c r="H5" i="6"/>
  <c r="G5" i="6"/>
  <c r="H4" i="5"/>
  <c r="G4" i="5"/>
  <c r="H4" i="3"/>
  <c r="G4" i="3"/>
  <c r="H4" i="1"/>
  <c r="G4" i="1"/>
  <c r="G4" i="2"/>
  <c r="H4" i="2"/>
  <c r="G11" i="4" l="1"/>
  <c r="I11" i="4"/>
  <c r="E14" i="16"/>
  <c r="F14" i="16"/>
  <c r="U13" i="8"/>
  <c r="U11" i="8"/>
  <c r="V19" i="8"/>
  <c r="U19" i="8"/>
  <c r="U18" i="8"/>
  <c r="U17" i="8"/>
  <c r="U16" i="8"/>
  <c r="V15" i="8"/>
  <c r="U15" i="8"/>
  <c r="U14" i="8"/>
  <c r="U12" i="8"/>
  <c r="V11" i="8"/>
  <c r="U10" i="8"/>
  <c r="U9" i="8"/>
  <c r="U8" i="8"/>
  <c r="V7" i="8"/>
  <c r="V18" i="8"/>
  <c r="V14" i="8"/>
  <c r="V10" i="8"/>
  <c r="V17" i="8"/>
  <c r="V13" i="8"/>
  <c r="V9" i="8"/>
  <c r="V16" i="8"/>
  <c r="V12" i="8"/>
  <c r="V8" i="8"/>
  <c r="U7" i="8"/>
</calcChain>
</file>

<file path=xl/sharedStrings.xml><?xml version="1.0" encoding="utf-8"?>
<sst xmlns="http://schemas.openxmlformats.org/spreadsheetml/2006/main" count="1585" uniqueCount="316">
  <si>
    <t>Параметры</t>
  </si>
  <si>
    <t>№</t>
  </si>
  <si>
    <t>A</t>
  </si>
  <si>
    <t>+/-</t>
  </si>
  <si>
    <t>%</t>
  </si>
  <si>
    <t>Включено в Реестр</t>
  </si>
  <si>
    <t>Объекты</t>
  </si>
  <si>
    <t>Проведено проверок</t>
  </si>
  <si>
    <t>Выдано предписаний</t>
  </si>
  <si>
    <t>Оформлено протоколов</t>
  </si>
  <si>
    <t>Штрафы (тыс. сом)</t>
  </si>
  <si>
    <t>Итого</t>
  </si>
  <si>
    <t>А</t>
  </si>
  <si>
    <t>Введено в эксплуатацию всего</t>
  </si>
  <si>
    <t>Период:</t>
  </si>
  <si>
    <t>  Из них:</t>
  </si>
  <si>
    <t>   Индивидуальное жилищное строительство (ИЖС)</t>
  </si>
  <si>
    <t>   Многэтажные жилые здания</t>
  </si>
  <si>
    <t>   Социальные объекты</t>
  </si>
  <si>
    <t>   Объекты общественного назначения</t>
  </si>
  <si>
    <t>   Гидроэлектростанции (ГЭС)</t>
  </si>
  <si>
    <t>   Прочие объекты</t>
  </si>
  <si>
    <t>Выдано заключений</t>
  </si>
  <si>
    <t>Возвращено на доработку</t>
  </si>
  <si>
    <t>В работе</t>
  </si>
  <si>
    <t>город</t>
  </si>
  <si>
    <t>Утвержденные генеральные планы</t>
  </si>
  <si>
    <t>На стадии разработки</t>
  </si>
  <si>
    <t xml:space="preserve">Итого </t>
  </si>
  <si>
    <t>Поступило всего</t>
  </si>
  <si>
    <t>Наименование области/отрасли</t>
  </si>
  <si>
    <t>Общее количество объектов</t>
  </si>
  <si>
    <t>Стадия проектирования</t>
  </si>
  <si>
    <t>Стадия строительства</t>
  </si>
  <si>
    <t>Завершено (ожидает ввода в эксплуатацию)</t>
  </si>
  <si>
    <t>Введено в эксплуатацию</t>
  </si>
  <si>
    <t>Всего, тыс. кв. м общей площади (м²)</t>
  </si>
  <si>
    <t>Школы</t>
  </si>
  <si>
    <t>Детсады</t>
  </si>
  <si>
    <t>Спорткомплексы</t>
  </si>
  <si>
    <t>Здравоохранение</t>
  </si>
  <si>
    <t>Объекты культурны</t>
  </si>
  <si>
    <t>Другое</t>
  </si>
  <si>
    <t>Дополнительные работы</t>
  </si>
  <si>
    <t>План финансирования (млн. сом)</t>
  </si>
  <si>
    <t>Открытое финансирование (млн. сом)</t>
  </si>
  <si>
    <t>% финансирования от плана</t>
  </si>
  <si>
    <t>Наименование</t>
  </si>
  <si>
    <t>Объекты на стадии подготовки</t>
  </si>
  <si>
    <t>Объекты на стадии выполнения работ</t>
  </si>
  <si>
    <t>Детские сады</t>
  </si>
  <si>
    <t>Учреждения здравоохранения</t>
  </si>
  <si>
    <t>Культурные объекты</t>
  </si>
  <si>
    <t>Прочие объекты</t>
  </si>
  <si>
    <t>Всего сертификатов</t>
  </si>
  <si>
    <t>Произведенные в КР</t>
  </si>
  <si>
    <t>Завезенные в КР</t>
  </si>
  <si>
    <t>Выдано сертификатов всего</t>
  </si>
  <si>
    <t>Минеральные вяжущие</t>
  </si>
  <si>
    <t>Металл и изделия из него</t>
  </si>
  <si>
    <t>Строительные изделия и конструкции из пластмасс</t>
  </si>
  <si>
    <t>Бетонные смеси и конструкции из бетона и железобетона</t>
  </si>
  <si>
    <t>Отделочные и облицовочные материалы</t>
  </si>
  <si>
    <t>Нерудные материалы</t>
  </si>
  <si>
    <t>Дорожные материалы</t>
  </si>
  <si>
    <t>Теплоизоляционные и гидроизоляционные материалы</t>
  </si>
  <si>
    <t>Стеновые материалы</t>
  </si>
  <si>
    <t>Стекло и изделия из него</t>
  </si>
  <si>
    <t>Изделия из асбестоцемента</t>
  </si>
  <si>
    <t>Прочие (добавки, растворы и т.п.)</t>
  </si>
  <si>
    <t>Показатель</t>
  </si>
  <si>
    <t>ОбследованоТехнических Заключений всего</t>
  </si>
  <si>
    <t xml:space="preserve">  Из них: </t>
  </si>
  <si>
    <t>   Жилые помещения</t>
  </si>
  <si>
    <t>   Нежилые помещения</t>
  </si>
  <si>
    <t>   Административные здания</t>
  </si>
  <si>
    <t>   Прочее</t>
  </si>
  <si>
    <t>Отказано</t>
  </si>
  <si>
    <t>   Со стороны ГИССИП</t>
  </si>
  <si>
    <t>   Со стороны заказчика</t>
  </si>
  <si>
    <t>   На снос</t>
  </si>
  <si>
    <t>   На реконструкцию</t>
  </si>
  <si>
    <t>   Оценка технического состояния</t>
  </si>
  <si>
    <t>В процессе рассмотрения</t>
  </si>
  <si>
    <t>Параметр/Месяц</t>
  </si>
  <si>
    <t>   АПКР</t>
  </si>
  <si>
    <t>   физ. лица</t>
  </si>
  <si>
    <t>Исполнено в установленный срок</t>
  </si>
  <si>
    <t>Находится в процессе рассмотрения</t>
  </si>
  <si>
    <t>Для информации</t>
  </si>
  <si>
    <t>Взято на контроль</t>
  </si>
  <si>
    <t>Исполнено с нарушением сроков</t>
  </si>
  <si>
    <t>   ЖККР</t>
  </si>
  <si>
    <t>   КМКР</t>
  </si>
  <si>
    <t>   Министерства и ведомства КР</t>
  </si>
  <si>
    <t>   Разные</t>
  </si>
  <si>
    <t>Находится в работе</t>
  </si>
  <si>
    <t>Общее количество поданных заявлений</t>
  </si>
  <si>
    <t>Количество заявлений на рассмотрении</t>
  </si>
  <si>
    <t>Количество выданных лицензий</t>
  </si>
  <si>
    <t>   Лицензий первого уровня</t>
  </si>
  <si>
    <t>   Лицензий второго уровня</t>
  </si>
  <si>
    <t>   Лицензий третьего уровня</t>
  </si>
  <si>
    <t>Количество лицензий, выданных впервые</t>
  </si>
  <si>
    <t>   Организациям</t>
  </si>
  <si>
    <t>   Индивидуальным предпринимателям</t>
  </si>
  <si>
    <t>Количество аннулированных лицензий</t>
  </si>
  <si>
    <t>Количество в черном списке</t>
  </si>
  <si>
    <t>Количество отказов в выдаче лицензий</t>
  </si>
  <si>
    <t>Количество выданных сертификатов</t>
  </si>
  <si>
    <t>   Первичные</t>
  </si>
  <si>
    <t>   Бессрочное</t>
  </si>
  <si>
    <t>Сертифицированные специалисты по энергоэффективности зданий</t>
  </si>
  <si>
    <t>Количество инвестиционных проектов</t>
  </si>
  <si>
    <t>Общая сумма инвестиций (млн сом)</t>
  </si>
  <si>
    <t>Заключенные соглашения/меморандумы</t>
  </si>
  <si>
    <t>Всего оборудования</t>
  </si>
  <si>
    <t>Серверы</t>
  </si>
  <si>
    <t>Принтеры (всего)</t>
  </si>
  <si>
    <t>из них</t>
  </si>
  <si>
    <t>Компьютеры</t>
  </si>
  <si>
    <t>Ноутбуки</t>
  </si>
  <si>
    <t>Планшеты</t>
  </si>
  <si>
    <t>Цветные принтеры</t>
  </si>
  <si>
    <t>Принтеры 3 в 1</t>
  </si>
  <si>
    <t>Обычные принтеры</t>
  </si>
  <si>
    <t xml:space="preserve">из них </t>
  </si>
  <si>
    <t>Судебные акты, вынесенных в пользу Госстроя</t>
  </si>
  <si>
    <t>Судебные акты, вынесенных не в пользу Госстроя</t>
  </si>
  <si>
    <t>Судебные дела, находящиеся в производстве судебных органов</t>
  </si>
  <si>
    <t>Количество пресс-релизов, опубликованных на сайте</t>
  </si>
  <si>
    <t>Количество пресс-конференций и брифингов</t>
  </si>
  <si>
    <t>Количество организованных интервью и выступлений</t>
  </si>
  <si>
    <t>Количество запросов от СМИ</t>
  </si>
  <si>
    <t>Количество публикаций в социальных сетях</t>
  </si>
  <si>
    <t>Капитальное строительство</t>
  </si>
  <si>
    <t>- Площадь (м²)</t>
  </si>
  <si>
    <t>-Площадь (м²)</t>
  </si>
  <si>
    <t>село</t>
  </si>
  <si>
    <t xml:space="preserve">Итого по КР </t>
  </si>
  <si>
    <t>+/–</t>
  </si>
  <si>
    <t xml:space="preserve">Завершено </t>
  </si>
  <si>
    <t>тыс. кв. м общей площади (м²)</t>
  </si>
  <si>
    <t>Объекты культуры</t>
  </si>
  <si>
    <t>Итого по КР</t>
  </si>
  <si>
    <t>Категория назначения</t>
  </si>
  <si>
    <t>  В том числе:</t>
  </si>
  <si>
    <t>Отказано всего</t>
  </si>
  <si>
    <t>Разработаны Специальных технических условий (СТУ) всего:</t>
  </si>
  <si>
    <t>Разработаны и утверждены Нормативно-технические документы (НТД) по строительным правилам и нормам (СНиП) всего:</t>
  </si>
  <si>
    <t>СН КР</t>
  </si>
  <si>
    <t>СП КР</t>
  </si>
  <si>
    <t>   Промышленные, производственные объекты</t>
  </si>
  <si>
    <t>   Объекты инфраструктуры/еоммунальные</t>
  </si>
  <si>
    <t xml:space="preserve">         Культурно бытовые объекты</t>
  </si>
  <si>
    <t>Жилое строительство</t>
  </si>
  <si>
    <t>Административные меры и действия</t>
  </si>
  <si>
    <t>Таблица 1.1.1.  СТАТИСТИКА ВЫЯВЛЕНИЯ САМОВОЛЬНОГО СТРОИТЕЛЬСТВА ПО КАТЕГОРИЯМ И ОБЛАСТЯМ</t>
  </si>
  <si>
    <t>Передано в правоохранительные органы</t>
  </si>
  <si>
    <t>Решение правоохранительных органов</t>
  </si>
  <si>
    <t>Передано в судебные органы</t>
  </si>
  <si>
    <t>Решение судебных органов</t>
  </si>
  <si>
    <t>Завершенные ПСД прошедшие госэкспертизу</t>
  </si>
  <si>
    <t>ПСД на рассмотрении госэкспертизы</t>
  </si>
  <si>
    <t>ПСД на стадии разработки</t>
  </si>
  <si>
    <t>Объявлен конкурс на разработку ПСД</t>
  </si>
  <si>
    <t>Аварийные объекты по плану текущего года</t>
  </si>
  <si>
    <t>Градостроительные заключения всего</t>
  </si>
  <si>
    <t>Разработанные и подготовленные на утверждение генеральные планы</t>
  </si>
  <si>
    <t>Из них:</t>
  </si>
  <si>
    <t>Согласованные проекты всего</t>
  </si>
  <si>
    <r>
      <rPr>
        <b/>
        <sz val="9"/>
        <rFont val="Kyrghyz Times"/>
        <family val="1"/>
      </rPr>
      <t>г. Бишкек</t>
    </r>
  </si>
  <si>
    <r>
      <rPr>
        <b/>
        <sz val="10"/>
        <rFont val="Kyrghyz Times"/>
        <family val="1"/>
      </rPr>
      <t>ВЕРСИЯ 1.00</t>
    </r>
  </si>
  <si>
    <r>
      <rPr>
        <b/>
        <sz val="11"/>
        <rFont val="Kyrghyz Times"/>
        <family val="1"/>
      </rPr>
      <t>УНИФИКАЦИЯ СТАТИСТИЧЕСКОЙ ОТЧЕТНОСТИ И УСТАНОВЛЕНИЕ ЕДИНЫХ ФОРМАТОВ ПРЕДСТАВЛЕНИЯ ДАННЫХ В ГОСУДАРСТВЕННОМ АГЕНТСТВЕ АРХИТЕКТУРЫ, СТРОИТЕЛЬСТВА И ЖИЛИЩНО-КОММУНАЛЬНОГО ХОЗЯЙСТВА ПРИ КАБИНЕТЕ МИНИСТРОВ КЫРГЫЗСКОЙ РЕСПУБЛИКИ</t>
    </r>
  </si>
  <si>
    <r>
      <rPr>
        <b/>
        <sz val="18"/>
        <rFont val="Kyrghyz Times"/>
        <family val="1"/>
      </rPr>
      <t>ПОЛОЖЕНИЕ</t>
    </r>
  </si>
  <si>
    <t>ВВОДНЫЕ ПОЛОЖЕНИЯ</t>
  </si>
  <si>
    <t>Введение</t>
  </si>
  <si>
    <t>Цель</t>
  </si>
  <si>
    <t>Задачи</t>
  </si>
  <si>
    <t>Область применения</t>
  </si>
  <si>
    <t>Сроки предоставления отчетности</t>
  </si>
  <si>
    <t>Способы предоставления статистических форм</t>
  </si>
  <si>
    <t>Ответственность за предоставление отчетности</t>
  </si>
  <si>
    <t>Порядок внесения изменений и дополнений</t>
  </si>
  <si>
    <t>Порядок вступления в силу</t>
  </si>
  <si>
    <t>1. УПРАВЛЕНИЕ АРХИТЕКТУРЫ</t>
  </si>
  <si>
    <t>1.1. Государственный архитектурно-строительный контроль</t>
  </si>
  <si>
    <t>Таблица 1.1.1. СТАТИСТИКА ВЫЯВЛЕНИЯ САМОВОЛЬНОГО СТРОИТЕЛЬСТВА ПО КАТЕГОРИЯМ И ОБЛАСТЯМ</t>
  </si>
  <si>
    <t>Таблица 1.1.2. СТАТИСТИКА ПО РЕЕСТРУ СТРОЯЩИХСЯ ОБЪЕКТОВ</t>
  </si>
  <si>
    <t>Таблица 1.1.3. СТАТИСТИКА ПО ОЦЕНКЕ СООТВЕТСТВИЯ ВВОДИМЫХ В ЭКСПЛУАТАЦИЮ ОБЪЕКТОВ</t>
  </si>
  <si>
    <t>1.2. Департамент градостроительства и архитектуры</t>
  </si>
  <si>
    <t>Таблица 1.2.1. СТАТИСТИКА ПО РАЗРАБОТКЕ ГРАДОСТРОИТЕЛЬНЫХ ЗАКЛЮЧЕНИЙ</t>
  </si>
  <si>
    <t>Таблица 1.2.2. СТАТИСТИКА РАЗРАБОТКИ И ПОДГОТОВКИ ГЕНЕРАЛЬНЫХ ПЛАНОВ НАСЕЛЕННЫХ ПУНКТОВ</t>
  </si>
  <si>
    <t>1.3. Департамент государственной экспертизы</t>
  </si>
  <si>
    <t>Таблица 1.3.1. СТАТИСТИКА ПО ЭКСПЕРТИЗЕ ПРОЕКТНОЙ ДОКУМЕНТАЦИИ</t>
  </si>
  <si>
    <t>2. УПРАВЛЕНИЕ СТРОИТЕЛЬСТВА</t>
  </si>
  <si>
    <t>2.1. Департамент Жилищно-Гражданского Строительства</t>
  </si>
  <si>
    <t>Таблица 2.1.1. СТАТИСТИКА ОБЪЕКТОВ СТРОИТЕЛЬСТВА ПО ОБЛАСТЯМ И ОТРАСЛЯМ</t>
  </si>
  <si>
    <t>Таблица 2.1.2. СТАТИСТИКА КАПИТАЛЬНОГО РЕМОНТА ПО ОБЛАСТЯМ И ОТРАСЛЯМ</t>
  </si>
  <si>
    <t>2.2. Республиканский центр сертификации в строительстве</t>
  </si>
  <si>
    <t>Таблица 2.2.1. СТАТИСТИКА СЕРТИФИКАЦИИ СТРОИТЕЛЬНЫХ МАТЕРИАЛОВ, ИЗДЕЛИЙ И КОНСТРУКЦИЙ</t>
  </si>
  <si>
    <t>2.3. Государственный институт сейсмостойкого строительства и инженерного проектирования</t>
  </si>
  <si>
    <t>Таблица 2.3.1. СТАТИСТИКА ВЫДАЧИ ТЕХНИЧЕСКИХ ЗАКЛЮЧЕНИЙ</t>
  </si>
  <si>
    <t>3. УПРАВЛЕНИЕ ЧЕЛОВЕЧЕСКИМИ РЕСУРСАМИ</t>
  </si>
  <si>
    <t>Таблица 3.1. СТАТИСТИКА ПО ОБРАЩЕНИЯМ ГРАЖДАН</t>
  </si>
  <si>
    <t>Таблица 3.2.  СТАТИСТИКА ПО ВХОДЯЩЕЙ КОРРЕСПОНДЕНЦИИ</t>
  </si>
  <si>
    <t>4. УПРАВЛЕНИЕ ЛИЦЕНЗИРОВАНИЯ И СЕРТИФИКАЦИИ</t>
  </si>
  <si>
    <t>5. ОТДЕЛ ИНВЕСТИЦИЙ И ВНЕШНИХ СВЯЗЕЙ</t>
  </si>
  <si>
    <t>6. ОТДЕЛ ЦИФРОВОГО РАЗВИТИЯ И ОРГАНИЗАЦИОННО-АНАЛИТИЧЕСКОЙ РАБОТЫ</t>
  </si>
  <si>
    <t>7. ЮРИДИЧЕСКИЙ ОТДЕЛ</t>
  </si>
  <si>
    <t>8. ПРЕСС-СЛУЖБА</t>
  </si>
  <si>
    <r>
      <t>Настоящее Положение "Об унификации статистической отчетности и установлении единых форматов представления данных в Государственном агентстве архитектуры, строительства и жилищно-коммунального хозяйства при Кабинете Министров Кыргызской Республики"</t>
    </r>
    <r>
      <rPr>
        <b/>
        <sz val="12"/>
        <rFont val="Kyrghyz Times"/>
        <charset val="204"/>
      </rPr>
      <t xml:space="preserve"> </t>
    </r>
    <r>
      <rPr>
        <sz val="12"/>
        <rFont val="Kyrghyz Times"/>
        <charset val="204"/>
      </rPr>
      <t>(далее — Положение) устанавливает единые требования к порядку формирования, предоставления и обработки статистической отчетности.</t>
    </r>
  </si>
  <si>
    <t>Целью настоящего Положения является установление унифицированных требований к формированию и представлению статистической отчетности, обеспечение ее достоверности и полноты, а также повышение эффективности управления данными в рамках Государственного агентства архитектуры, строительства и жилищно-коммунального хозяйства при Кабинете Министров Кыргызской Республики (далее — Госстрой).</t>
  </si>
  <si>
    <t>Основными задачами настоящего Положения являются:</t>
  </si>
  <si>
    <t>Установление единых стандартов и форматов статистической отчетности по направлениям деятельности Госстроя.</t>
  </si>
  <si>
    <t>Определение процедур сбора, обработки и анализа статистических данных для обеспечения их достоверности и объективности.</t>
  </si>
  <si>
    <t>Регламентация порядка взаимодействия структурных подразделений Госстроя и подведомственных организаций в процессе подготовки и представления статистической отчетности.</t>
  </si>
  <si>
    <t>Обеспечение прозрачности и доступности статистической информации для государственных органов, общественных организаций и заинтересованных сторон.</t>
  </si>
  <si>
    <t>Настоящее Положение распространяется на все структурные подразделения Госстроя и подведомственные организации, ответственные за сбор, обработку, представление и хранение статистической отчетности по вопросам архитектуры, строительства и жилищно-коммунального хозяйства.</t>
  </si>
  <si>
    <t>Организационные и распорядительные документы, а также локальные нормативные акты не должны противоречить требованиям настоящего Положения. Положение вступает в силу после его утверждения и введения в действие в установленном порядке.</t>
  </si>
  <si>
    <t>Отдел цифрового развития и организационно-аналитических работ вправе запрашивать отчеты и информацию в оперативном порядке в любое время по мере необходимости. Кроме того, отдел оставляет за собой право изменять форму и структуру отчетности, а также требования к предоставлению информации, с обязательным уведомлением соответствующих структурных подразделений и подведомственных организаций. Эти полномочия также распространяются на случаи получения нестандартных запросов от руководства, Аппарата Президента Кыргызской Республики (АПКР), Кабинета Министров Кыргызской Республики (КМКР) и других государственных органов.</t>
  </si>
  <si>
    <t>Все статистические формы предоставляются через систему электронного документооборота (СЭД). Отдел цифрового развития и организационно-аналитических работ может в отдельных случаях рассматривать другие варианты предоставления данных для оперативного использования. Если данные предоставляются в бумажном виде, они должны быть обязательно заверены руководителем и исполнителем соответствующего структурного подразделения или подведомственной организации.</t>
  </si>
  <si>
    <t>Ответственность за своевременное предоставление статистической отчетности, полноту представленных данных, их достоверность и соблюдение установленных сроков возлагается на руководителей структурных подразделений Госстроя и подведомственных организаций.</t>
  </si>
  <si>
    <t>В отдельных случаях возможны запросы на предоставление дополнительных уточнений и разъяснений для обеспечения полноты, и достоверности предоставляемой информации.</t>
  </si>
  <si>
    <t>Нарушение требований настоящего Положения может повлечь дисциплинарную, административную или иную ответственность в соответствии с законодательством Кыргызской Республики и внутренними нормативными актами Госстроя.</t>
  </si>
  <si>
    <t>Настоящее Положение является локальным нормативным актом постоянного действия. Внесение изменений и дополнений в Положение осуществляется приказом директора Госстроя в следующих случаях:</t>
  </si>
  <si>
    <t>Изменение законодательства Кыргызской Республики, влияющего на выполнение регламентируемых процессов.</t>
  </si>
  <si>
    <t>Изменение организационной структуры или полномочий руководителей, затрагивающих выполнение настоящего Положения.</t>
  </si>
  <si>
    <t>Инициатива отдела цифрового развития и организационно-аналитических работ, направленная на улучшение процесса формирования и представления статистической отчетности, включая разработку новых процедур, методик и стандартов для оптимизации сбора, и анализа данных.</t>
  </si>
  <si>
    <t>Ответственность за актуализацию и поддержание настоящего Положения в актуальном состоянии возлагается на отдел цифрового развития и организационно-аналитических работ. Контроль за соблюдением требований Положения возлагается на заместителей директора Госстроя.</t>
  </si>
  <si>
    <t>Настоящее Положение утверждается приказом директора Госстроя и вступает в силу с момента его подписания. Документ признается утратившим силу на основании соответствующего приказа.</t>
  </si>
  <si>
    <t>Все структурные подразделения и подведомственные организации Госстроя обязаны предоставлять данные за отчетный месяц в соответствующие Управления и отделы не позднее 5 числа следующего месяца. В случае, если 5 число выпадает на праздничный или выходной день, информация должна быть предоставлена в ближайший предшествующий рабочий день.</t>
  </si>
  <si>
    <t>Таблица 4.1. СТАТИСТИКА ЛИЦЕНЗИРОВАНИЯ СТРОИТЕЛЬНОЙ ДЕЯТЕЛЬНОСТИ</t>
  </si>
  <si>
    <t>Таблица 4.2. СТАТИСТИКА ПО СЕРТИФИКАЦИИ СПЕЦИАЛИСТОВ СТРОИТЕЛЬНОЙ ОТРАСЛИ</t>
  </si>
  <si>
    <t>Таблица 5.1. СТАТИСТИКА ПО ИНВЕСТИЦИОННЫМ ПРОЕКТАМ ПО МЕСЯЦАМ</t>
  </si>
  <si>
    <t>Таблица 6.1. СТАТИСТИКА ПО ОСНАЩЕННОСТИ КОМПЬЮТЕРНОЙ ТЕХНИКОЙ</t>
  </si>
  <si>
    <t>Таблица 7.1. СТАТИСТИКА ДЕЯТЕЛЬНОСТИ ЮРИДИЧЕСКОГО ОТДЕЛА</t>
  </si>
  <si>
    <t>Таблица 8.1. СТАТИСТИКА ДЕЯТЕЛЬНОСТИ ПРЕСС-СЛУЖБЫ</t>
  </si>
  <si>
    <t>Сканеры (всего)</t>
  </si>
  <si>
    <t>Некоторые структурные подразделения и подведомственные организации  могут предоставлять данные на ежеквартальной основе по согласованию с руководством и отделом цифрового развития и организационно-аналитических работ. При этом, в случае поступления оперативного запроса, они обязаны предоставить необходимые данные в кратчайшие сроки независимо от установленного квартального графика.</t>
  </si>
  <si>
    <t>Управления и отделы обязаны передавать собранные данные в утвержденных форматах в отдел цифрового развития и организационно-аналитических работ не позднее 10 числа следующего месяца (или квартала). Если 10 число выпадает на праздничный или выходной день, данные должны быть переданы в ближайший предшествующий рабочий день.</t>
  </si>
  <si>
    <r>
      <t>УТВЕРЖДЕНЫ
Приказом Государственного агентство архитектуры,                                                                                                     строительства и жилищно-коммунального хозяйства                                                                                                                             при Кабинете Министров КР (Госстрой)
 от «_____» _________ 2024 г. №______
Введены в действие «_____» ________ 2024 г.</t>
    </r>
    <r>
      <rPr>
        <sz val="10"/>
        <rFont val="Kyrghyz Times"/>
        <family val="1"/>
      </rPr>
      <t xml:space="preserve">
</t>
    </r>
  </si>
  <si>
    <t xml:space="preserve"> </t>
  </si>
  <si>
    <t>БАТКЕНСКАЯ ОБЛАСТЬ</t>
  </si>
  <si>
    <t>ДЖАЛАЛ-АБАДСКАЯ ОБЛАСТЬ</t>
  </si>
  <si>
    <t>ИССЫК-КУЛЬСКАЯ ОБЛАСТЬ</t>
  </si>
  <si>
    <t>НАРЫНСКАЯ ОБЛАСТЬ</t>
  </si>
  <si>
    <t>ОШСКАЯ ОБЛАСТЬ</t>
  </si>
  <si>
    <t>ТАЛАССКАЯ ОБЛАСТЬ</t>
  </si>
  <si>
    <t>ЧУЙСКАЯ ОБЛАСТЬ</t>
  </si>
  <si>
    <t>2024г в сопоставлении с 2023г</t>
  </si>
  <si>
    <t>2024г в  сопоставлении с 2023г</t>
  </si>
  <si>
    <t>2024 г в  сопоставлении с 2023 г</t>
  </si>
  <si>
    <t>2024 г в сопоставлении с 2023 г</t>
  </si>
  <si>
    <t>2024 г в  сопоставлениис 2023 г</t>
  </si>
  <si>
    <t>2024 г в  сопоставлениит с 2023 г</t>
  </si>
  <si>
    <t>2024г в  сопоставлениит с 2023г</t>
  </si>
  <si>
    <t>Объекты различного назначения</t>
  </si>
  <si>
    <t xml:space="preserve">Таблица 1.2.1. СТАТИСТИКА ПО РАЗРАБОТКЕ ГРАДОСТРОИТЕЛЬНЫХ ЗАКЛЮЧЕНИЙ </t>
  </si>
  <si>
    <t xml:space="preserve">Таблица 1.1.3 СТАТИСТИКА ПО ОЦЕНКЕ СООТВЕТСТВИЯ ВВОДИМЫХ В ЭКСПЛУАТАЦИЮ ОБЪЕКТОВ </t>
  </si>
  <si>
    <t xml:space="preserve">Таблица 1.2.2. СТАТИСТИКА ПО СОГЛАСОВАНИЮ ПРОЕКТОВ </t>
  </si>
  <si>
    <t xml:space="preserve">Таблица 1.1.2. СТАТИСТИКА ПО РЕЕСТРУ СТРОЯЩИХСЯ ОБЪЕКТОВ </t>
  </si>
  <si>
    <t xml:space="preserve">Таблица 1.3.1 СТАТИСТИКА ПО ЭКСПЕРТИЗЕ ПРОЕКТНОЙ ДОКУМЕНТАЦИИ </t>
  </si>
  <si>
    <t xml:space="preserve">Таблица 2.1.1. СТАТИСТИКА ОБЪЕКТОВ СТРОИТЕЛЬСТВА ПО ОБЛАСТЯМ И ОТРАСЛЯМ </t>
  </si>
  <si>
    <t xml:space="preserve">Таблица 2.1.2 СТАТИСТИКА КАПИТАЛЬНОГО РЕМОНТА ПО ОБЛАСТЯМ И ОТРАСЛЯМЗА </t>
  </si>
  <si>
    <t xml:space="preserve">Таблица 2.2.1.  СТАТИСТИКА СЕРТИФИКАЦИИ СТРОИТЕЛЬНЫХ МАТЕРИАЛОВ, ИЗДЕЛИЙ И КОНСТРУКЦИЙ </t>
  </si>
  <si>
    <t xml:space="preserve">Таблица 3.1 СТАТИСТИКА ПО ОБРАЩЕНИЯМ ГРАЖДАН </t>
  </si>
  <si>
    <t xml:space="preserve">Таблица 3.2.   СТАТИСТИКА ПО ВХОДЯЩЕЙ КОРРЕСПОНДЕНЦИИ </t>
  </si>
  <si>
    <t xml:space="preserve">Таблица 4.2 СТАТИСТИКА ПО СЕРТИФИКАЦИИ СПЕЦИАЛИСТОВ СТРОИТЕЛЬНОЙ ОТРАСЛИ </t>
  </si>
  <si>
    <t xml:space="preserve">Таблица 4.1 СТАТИСТИКА ЛИЦЕНЗИРОВАНИЯ СТРОИТЕЛЬНОЙ ДЕЯТЕЛЬНОСТИ </t>
  </si>
  <si>
    <t xml:space="preserve">Таблица 5.1.  СТАТИСТИКА ПО ИНВЕСТИЦИОННЫМ ПРОЕКТАМ </t>
  </si>
  <si>
    <t xml:space="preserve">Таблица 7.1 СТАТИСТИКА ДЕЯТЕЛЬНОСТИ ЮРИДИЧЕСКОГО ОТДЕЛА </t>
  </si>
  <si>
    <t xml:space="preserve">Таблица 8.1. СТАТИСТИКА ДЕЯТЕЛЬНОСТИ ПРЕСС-СЛУЖБЫ </t>
  </si>
  <si>
    <t>Наложение штрафов</t>
  </si>
  <si>
    <t>Выдача предписаний</t>
  </si>
  <si>
    <t>Подготовка нормативных правовых актов (НПА)</t>
  </si>
  <si>
    <t>Судебные разбирательства</t>
  </si>
  <si>
    <t>Административные жалобы</t>
  </si>
  <si>
    <t>Общее количество объектов ПСД по плану текущего года</t>
  </si>
  <si>
    <t>Индивидуальное жилищное строительство (ИЖС)</t>
  </si>
  <si>
    <t>Многоэтажные жилые здания</t>
  </si>
  <si>
    <t>Социальные объекты</t>
  </si>
  <si>
    <t>Промышленные объекты</t>
  </si>
  <si>
    <t>Производственные обьекты</t>
  </si>
  <si>
    <t>Коммерческие здания</t>
  </si>
  <si>
    <t>Объекты общественного назначения</t>
  </si>
  <si>
    <t>Гидроэлектростанции (ГЭС)</t>
  </si>
  <si>
    <t>Солнечные электростанции</t>
  </si>
  <si>
    <t xml:space="preserve">Выдано согласованные проекты </t>
  </si>
  <si>
    <t>Возвращены на доработку</t>
  </si>
  <si>
    <t>Многэтажные жилые здания</t>
  </si>
  <si>
    <t>Таблица 2.3.1.  СТАТИСТИКА ВЫДАЧИ ТЕХНИЧЕСКИХ ЗАКЛЮЧЕНИЙ, СПЕЦИАЛЬНЫХ УСЛОВИЙ И НТД</t>
  </si>
  <si>
    <t>Виды технических заключений всего</t>
  </si>
  <si>
    <t>   -Капитального строительства</t>
  </si>
  <si>
    <t>   -Малые объекты</t>
  </si>
  <si>
    <t>   -Наложено штрафов</t>
  </si>
  <si>
    <t>   -Взыскано штрафов</t>
  </si>
  <si>
    <t>Малые объекты</t>
  </si>
  <si>
    <t>Социально-культурные объекты</t>
  </si>
  <si>
    <t>Общая площадь введённых объектов (м²)</t>
  </si>
  <si>
    <t>ФОРМЫ СТАТИСТИЧЕСКОЙ ОТЧЕТНОСТИ</t>
  </si>
  <si>
    <t>Сентябрь</t>
  </si>
  <si>
    <t>Объект кредиторы</t>
  </si>
  <si>
    <t xml:space="preserve">Таблица 1.2.3. СТАТИСТИКА РАЗРАБОТАННЫХ И ПОДГОТОВЛЕННЫХ ГЕНЕРАЛЬНЫХ ПЛАНОВ </t>
  </si>
  <si>
    <t>Из них (подведомственные территориальные подразделения)</t>
  </si>
  <si>
    <t>Чуйское региональное управление</t>
  </si>
  <si>
    <t>Иссык-Кульское региональное управление</t>
  </si>
  <si>
    <t>Таласское региональное управление</t>
  </si>
  <si>
    <t>Ошское региональное управление</t>
  </si>
  <si>
    <t>Джалал-Абадское региональное управление</t>
  </si>
  <si>
    <t>Баткенское региональное управление</t>
  </si>
  <si>
    <t>Нарынское региональное управление</t>
  </si>
  <si>
    <t>Сенябрь</t>
  </si>
  <si>
    <t>г. БИШКЕК</t>
  </si>
  <si>
    <t>г. ОШ</t>
  </si>
  <si>
    <t>ЦЕНТРАЛЬНЫЙ АППАРАТ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</si>
</sst>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charset val="204"/>
      <scheme val="minor"/>
    </font>
    <font>
      <b/>
      <sz val="11"/>
      <color theme="1"/>
      <name val="Kyrghyz Times"/>
      <charset val="204"/>
    </font>
    <font>
      <sz val="11"/>
      <color theme="1"/>
      <name val="Kyrghyz Times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Kyrghyz Times"/>
      <charset val="204"/>
    </font>
    <font>
      <b/>
      <sz val="8"/>
      <color theme="1"/>
      <name val="Kyrghyz Times"/>
      <charset val="204"/>
    </font>
    <font>
      <sz val="8"/>
      <color theme="1"/>
      <name val="Kyrghyz Times"/>
      <charset val="204"/>
    </font>
    <font>
      <b/>
      <sz val="8"/>
      <color rgb="FF000000"/>
      <name val="Kyrghyz Times"/>
      <charset val="204"/>
    </font>
    <font>
      <sz val="8"/>
      <color rgb="FF000000"/>
      <name val="Kyrghyz Times"/>
      <charset val="204"/>
    </font>
    <font>
      <sz val="8"/>
      <color theme="1"/>
      <name val="Calibri"/>
      <family val="2"/>
      <charset val="204"/>
      <scheme val="minor"/>
    </font>
    <font>
      <sz val="10"/>
      <name val="Calibri"/>
      <family val="2"/>
    </font>
    <font>
      <b/>
      <sz val="9"/>
      <name val="Kyrghyz Times"/>
      <family val="1"/>
    </font>
    <font>
      <b/>
      <sz val="10"/>
      <name val="Kyrghyz Times"/>
      <family val="1"/>
    </font>
    <font>
      <b/>
      <sz val="11"/>
      <name val="Kyrghyz Times"/>
      <family val="1"/>
    </font>
    <font>
      <b/>
      <sz val="18"/>
      <name val="Kyrghyz Times"/>
      <family val="1"/>
    </font>
    <font>
      <sz val="10"/>
      <name val="Kyrghyz Times"/>
      <family val="1"/>
    </font>
    <font>
      <b/>
      <sz val="16"/>
      <name val="Kyrghyz Times"/>
      <charset val="204"/>
    </font>
    <font>
      <sz val="10"/>
      <name val="Kyrghyz Times"/>
      <charset val="204"/>
    </font>
    <font>
      <b/>
      <sz val="14"/>
      <name val="Kyrghyz Times"/>
      <charset val="204"/>
    </font>
    <font>
      <sz val="12"/>
      <name val="Kyrghyz Times"/>
      <charset val="204"/>
    </font>
    <font>
      <b/>
      <sz val="12"/>
      <name val="Kyrghyz Times"/>
      <charset val="204"/>
    </font>
    <font>
      <sz val="11"/>
      <name val="Kyrghyz Times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Kyrghyz Times"/>
      <charset val="204"/>
    </font>
    <font>
      <u/>
      <sz val="11"/>
      <color theme="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1" fillId="0" borderId="0"/>
    <xf numFmtId="0" fontId="23" fillId="0" borderId="0" applyNumberFormat="0" applyFill="0" applyBorder="0" applyAlignment="0" applyProtection="0"/>
  </cellStyleXfs>
  <cellXfs count="182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0" fillId="0" borderId="2" xfId="0" applyFont="1" applyBorder="1"/>
    <xf numFmtId="0" fontId="7" fillId="0" borderId="2" xfId="0" applyFont="1" applyBorder="1" applyAlignment="1">
      <alignment horizontal="left" vertical="center" wrapText="1"/>
    </xf>
    <xf numFmtId="0" fontId="10" fillId="0" borderId="0" xfId="0" applyFont="1"/>
    <xf numFmtId="0" fontId="7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0" fillId="0" borderId="0" xfId="0" applyNumberFormat="1"/>
    <xf numFmtId="9" fontId="0" fillId="0" borderId="0" xfId="1" applyFont="1"/>
    <xf numFmtId="0" fontId="0" fillId="0" borderId="0" xfId="0" applyAlignment="1">
      <alignment horizontal="right"/>
    </xf>
    <xf numFmtId="0" fontId="9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7" fillId="0" borderId="2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 wrapText="1"/>
      <protection locked="0"/>
    </xf>
    <xf numFmtId="9" fontId="7" fillId="0" borderId="2" xfId="1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7" fillId="0" borderId="5" xfId="0" applyFont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vertical="center"/>
      <protection locked="0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0" xfId="2"/>
    <xf numFmtId="0" fontId="15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17" fillId="0" borderId="0" xfId="2" applyFont="1" applyAlignment="1">
      <alignment horizontal="left" vertical="top" wrapText="1"/>
    </xf>
    <xf numFmtId="0" fontId="18" fillId="0" borderId="0" xfId="2" applyFont="1"/>
    <xf numFmtId="0" fontId="19" fillId="0" borderId="0" xfId="2" applyFont="1" applyAlignment="1">
      <alignment horizontal="left" vertical="top" wrapText="1"/>
    </xf>
    <xf numFmtId="0" fontId="20" fillId="0" borderId="0" xfId="2" applyFont="1" applyAlignment="1">
      <alignment horizontal="justify" vertical="top" wrapText="1"/>
    </xf>
    <xf numFmtId="0" fontId="22" fillId="0" borderId="0" xfId="2" applyFont="1" applyAlignment="1">
      <alignment horizontal="justify" vertical="top" wrapText="1"/>
    </xf>
    <xf numFmtId="0" fontId="22" fillId="0" borderId="0" xfId="2" applyFont="1" applyAlignment="1">
      <alignment horizontal="center" vertical="top" wrapText="1"/>
    </xf>
    <xf numFmtId="0" fontId="1" fillId="0" borderId="2" xfId="0" applyFont="1" applyBorder="1" applyAlignment="1">
      <alignment vertical="center" wrapText="1"/>
    </xf>
    <xf numFmtId="0" fontId="2" fillId="0" borderId="0" xfId="0" applyFont="1" applyAlignment="1" applyProtection="1">
      <alignment vertical="center"/>
      <protection locked="0"/>
    </xf>
    <xf numFmtId="0" fontId="2" fillId="0" borderId="2" xfId="0" applyFont="1" applyBorder="1"/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/>
    <xf numFmtId="0" fontId="0" fillId="0" borderId="0" xfId="0" applyAlignment="1"/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9" fontId="7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 applyProtection="1">
      <alignment horizontal="center"/>
      <protection locked="0"/>
    </xf>
    <xf numFmtId="9" fontId="7" fillId="0" borderId="9" xfId="1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5" fillId="0" borderId="0" xfId="2" applyFont="1" applyAlignment="1">
      <alignment horizontal="left" vertical="top" wrapText="1"/>
    </xf>
    <xf numFmtId="0" fontId="26" fillId="0" borderId="0" xfId="3" applyFont="1"/>
    <xf numFmtId="0" fontId="9" fillId="0" borderId="2" xfId="0" applyFont="1" applyBorder="1" applyAlignment="1" applyProtection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1" fontId="7" fillId="0" borderId="2" xfId="1" applyNumberFormat="1" applyFont="1" applyBorder="1" applyAlignment="1" applyProtection="1">
      <alignment horizontal="center"/>
      <protection locked="0"/>
    </xf>
    <xf numFmtId="0" fontId="7" fillId="0" borderId="2" xfId="1" applyNumberFormat="1" applyFont="1" applyBorder="1" applyAlignment="1" applyProtection="1">
      <alignment horizontal="center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alignment horizontal="center"/>
      <protection locked="0"/>
    </xf>
    <xf numFmtId="0" fontId="11" fillId="0" borderId="2" xfId="2" applyBorder="1"/>
    <xf numFmtId="0" fontId="9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/>
      <protection locked="0"/>
    </xf>
    <xf numFmtId="0" fontId="9" fillId="3" borderId="2" xfId="0" applyFont="1" applyFill="1" applyBorder="1" applyAlignment="1" applyProtection="1">
      <alignment horizontal="center" wrapText="1"/>
      <protection locked="0"/>
    </xf>
    <xf numFmtId="0" fontId="27" fillId="0" borderId="0" xfId="3" applyFont="1"/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0" xfId="0" applyFont="1"/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/>
    <xf numFmtId="0" fontId="7" fillId="3" borderId="2" xfId="0" quotePrefix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9" fontId="7" fillId="3" borderId="2" xfId="1" applyFont="1" applyFill="1" applyBorder="1" applyAlignment="1">
      <alignment horizontal="center"/>
    </xf>
    <xf numFmtId="0" fontId="9" fillId="3" borderId="2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9" fontId="7" fillId="0" borderId="0" xfId="1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/>
      <protection locked="0"/>
    </xf>
    <xf numFmtId="9" fontId="7" fillId="0" borderId="2" xfId="1" applyFont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4">
    <cellStyle name="Гиперссылка" xfId="3" builtinId="8"/>
    <cellStyle name="Обычный" xfId="0" builtinId="0"/>
    <cellStyle name="Обычный 2" xfId="2" xr:uid="{5E267848-08BB-49E9-ADF2-B3F096B2770A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5C38D-7ED5-4FDD-A550-B43CCA24501A}">
  <dimension ref="A1:A35"/>
  <sheetViews>
    <sheetView workbookViewId="0">
      <selection activeCell="D10" sqref="D10"/>
    </sheetView>
  </sheetViews>
  <sheetFormatPr defaultRowHeight="12.75"/>
  <cols>
    <col min="1" max="1" width="95.42578125" style="50" customWidth="1"/>
    <col min="2" max="16384" width="9.140625" style="50"/>
  </cols>
  <sheetData>
    <row r="1" spans="1:1" customFormat="1" ht="89.25">
      <c r="A1" s="55" t="s">
        <v>241</v>
      </c>
    </row>
    <row r="2" spans="1:1" customFormat="1" ht="15"/>
    <row r="3" spans="1:1" customFormat="1" ht="15"/>
    <row r="4" spans="1:1" customFormat="1" ht="100.5" customHeight="1">
      <c r="A4" t="s">
        <v>242</v>
      </c>
    </row>
    <row r="5" spans="1:1" customFormat="1" ht="15"/>
    <row r="6" spans="1:1" customFormat="1" ht="15"/>
    <row r="7" spans="1:1" customFormat="1" ht="15"/>
    <row r="8" spans="1:1" customFormat="1" ht="22.5">
      <c r="A8" s="51" t="s">
        <v>174</v>
      </c>
    </row>
    <row r="9" spans="1:1" customFormat="1" ht="22.5">
      <c r="A9" s="51" t="s">
        <v>300</v>
      </c>
    </row>
    <row r="10" spans="1:1" customFormat="1" ht="57">
      <c r="A10" s="52" t="s">
        <v>173</v>
      </c>
    </row>
    <row r="11" spans="1:1" customFormat="1" ht="15"/>
    <row r="12" spans="1:1" customFormat="1" ht="15"/>
    <row r="13" spans="1:1" customFormat="1" ht="15"/>
    <row r="14" spans="1:1" customFormat="1" ht="15"/>
    <row r="15" spans="1:1" customFormat="1" ht="15"/>
    <row r="16" spans="1:1" customFormat="1" ht="15">
      <c r="A16" s="53" t="s">
        <v>172</v>
      </c>
    </row>
    <row r="17" spans="1:1" customFormat="1" ht="15"/>
    <row r="18" spans="1:1" customFormat="1" ht="15"/>
    <row r="19" spans="1:1" customFormat="1" ht="15"/>
    <row r="20" spans="1:1" customFormat="1" ht="15"/>
    <row r="21" spans="1:1" customFormat="1" ht="15"/>
    <row r="22" spans="1:1" customFormat="1" ht="15"/>
    <row r="23" spans="1:1" customFormat="1" ht="15"/>
    <row r="24" spans="1:1" customFormat="1" ht="15"/>
    <row r="25" spans="1:1" customFormat="1" ht="15"/>
    <row r="26" spans="1:1" customFormat="1" ht="15">
      <c r="A26" s="50"/>
    </row>
    <row r="27" spans="1:1" customFormat="1" ht="15">
      <c r="A27" s="50"/>
    </row>
    <row r="34" spans="1:1">
      <c r="A34" s="54" t="s">
        <v>171</v>
      </c>
    </row>
    <row r="35" spans="1:1">
      <c r="A35" s="54">
        <v>2024</v>
      </c>
    </row>
  </sheetData>
  <pageMargins left="1.18" right="0.59" top="0.69" bottom="0.79" header="0.49" footer="0.0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B386C-4E1A-4422-8F46-F74D22DA76E3}">
  <sheetPr>
    <pageSetUpPr fitToPage="1"/>
  </sheetPr>
  <dimension ref="A1:S20"/>
  <sheetViews>
    <sheetView topLeftCell="D1" zoomScale="85" zoomScaleNormal="85" workbookViewId="0">
      <selection activeCell="G30" sqref="G30"/>
    </sheetView>
  </sheetViews>
  <sheetFormatPr defaultRowHeight="15"/>
  <cols>
    <col min="1" max="1" width="3.7109375" style="74" customWidth="1"/>
    <col min="2" max="2" width="43.28515625" customWidth="1"/>
    <col min="3" max="10" width="15.7109375" customWidth="1"/>
    <col min="11" max="19" width="6.7109375" customWidth="1"/>
  </cols>
  <sheetData>
    <row r="1" spans="1:19">
      <c r="A1" s="140" t="s">
        <v>262</v>
      </c>
      <c r="B1" s="140"/>
      <c r="C1" s="140"/>
      <c r="D1" s="140"/>
      <c r="E1" s="140"/>
      <c r="F1" s="140"/>
      <c r="G1" s="140"/>
      <c r="H1" s="140"/>
      <c r="I1" s="140"/>
      <c r="J1" s="79" t="s">
        <v>14</v>
      </c>
      <c r="K1" s="6"/>
      <c r="L1" s="6"/>
      <c r="M1" s="6"/>
      <c r="N1" s="6"/>
      <c r="O1" s="6"/>
      <c r="P1" s="6"/>
      <c r="Q1" s="6"/>
      <c r="R1" s="6"/>
      <c r="S1" s="6"/>
    </row>
    <row r="2" spans="1:19">
      <c r="A2" s="140"/>
      <c r="B2" s="140"/>
      <c r="C2" s="140"/>
      <c r="D2" s="140"/>
      <c r="E2" s="140"/>
      <c r="F2" s="140"/>
      <c r="G2" s="140"/>
      <c r="H2" s="140"/>
      <c r="I2" s="140"/>
      <c r="J2" s="149" t="s">
        <v>301</v>
      </c>
      <c r="K2" s="6"/>
      <c r="L2" s="6"/>
      <c r="M2" s="6"/>
      <c r="N2" s="6"/>
      <c r="O2" s="6"/>
      <c r="P2" s="6"/>
      <c r="Q2" s="6"/>
      <c r="R2" s="6"/>
      <c r="S2" s="6"/>
    </row>
    <row r="3" spans="1:19">
      <c r="A3" s="139"/>
      <c r="B3" s="139"/>
      <c r="C3" s="139"/>
      <c r="D3" s="139"/>
      <c r="E3" s="139"/>
      <c r="F3" s="139"/>
      <c r="G3" s="139"/>
      <c r="H3" s="139"/>
      <c r="I3" s="139"/>
      <c r="J3" s="142"/>
    </row>
    <row r="4" spans="1:19" ht="50.1" customHeight="1">
      <c r="A4" s="18"/>
      <c r="B4" s="49" t="s">
        <v>0</v>
      </c>
      <c r="C4" s="49" t="str">
        <f>"Факт " &amp; J2 &amp; "       2023 г"</f>
        <v>Факт Сентябрь       2023 г</v>
      </c>
      <c r="D4" s="49" t="str">
        <f xml:space="preserve"> "Факт " &amp; J2 &amp; "        2024 г"</f>
        <v>Факт Сентябрь        2024 г</v>
      </c>
      <c r="E4" s="147" t="s">
        <v>252</v>
      </c>
      <c r="F4" s="148"/>
      <c r="G4" s="49" t="str">
        <f xml:space="preserve"> "Факт Январь -" &amp; J2 &amp; " 2023 г"</f>
        <v>Факт Январь -Сентябрь 2023 г</v>
      </c>
      <c r="H4" s="49" t="str">
        <f xml:space="preserve"> "Факт Январь -" &amp; J2 &amp; " 2024 г"</f>
        <v>Факт Январь -Сентябрь 2024 г</v>
      </c>
      <c r="I4" s="147" t="s">
        <v>252</v>
      </c>
      <c r="J4" s="148"/>
    </row>
    <row r="5" spans="1:19" ht="15" customHeight="1">
      <c r="A5" s="18"/>
      <c r="B5" s="49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9" ht="15" customHeight="1">
      <c r="A6" s="18" t="s">
        <v>1</v>
      </c>
      <c r="B6" s="12" t="s">
        <v>12</v>
      </c>
      <c r="C6" s="18">
        <v>1</v>
      </c>
      <c r="D6" s="18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</row>
    <row r="7" spans="1:19" ht="24.95" customHeight="1">
      <c r="A7" s="18">
        <v>1</v>
      </c>
      <c r="B7" s="29" t="s">
        <v>29</v>
      </c>
      <c r="C7" s="83">
        <v>160</v>
      </c>
      <c r="D7" s="83">
        <v>186</v>
      </c>
      <c r="E7" s="18">
        <f t="shared" ref="E7" si="0">IF(AND(C7=0,D7=0),"",IFERROR(IF(OR(D7=0,D7=""),-C7,D7-C7),""))</f>
        <v>26</v>
      </c>
      <c r="F7" s="84">
        <f t="shared" ref="F7" si="1">IF(AND(D7=0,C7=0),"",IFERROR(IF(C7=0, D7, D7/C7),""))</f>
        <v>1.1625000000000001</v>
      </c>
      <c r="G7" s="83">
        <v>1217</v>
      </c>
      <c r="H7" s="83">
        <v>1431</v>
      </c>
      <c r="I7" s="18">
        <f t="shared" ref="I7:I20" si="2">IF(AND(G7=0,H7=0),"",IFERROR(IF(OR(H7=0,H7=""),-G7,H7-G7),""))</f>
        <v>214</v>
      </c>
      <c r="J7" s="84">
        <f t="shared" ref="J7:J20" si="3">IF(AND(H7=0,G7=0),"",IFERROR(IF(G7=0, H7, H7/G7),""))</f>
        <v>1.1758422350041084</v>
      </c>
    </row>
    <row r="8" spans="1:19" ht="24.95" customHeight="1">
      <c r="A8" s="18">
        <v>2</v>
      </c>
      <c r="B8" s="29" t="s">
        <v>15</v>
      </c>
      <c r="C8" s="83"/>
      <c r="D8" s="83"/>
      <c r="E8" s="18" t="str">
        <f t="shared" ref="E8:E12" si="4">IF(AND(C8=0,D8=0),"",IFERROR(IF(OR(D8=0,D8=""),-C8,D8-C8),""))</f>
        <v/>
      </c>
      <c r="F8" s="84" t="str">
        <f t="shared" ref="F8:F12" si="5">IF(AND(D8=0,C8=0),"",IFERROR(IF(C8=0, D8, D8/C8),""))</f>
        <v/>
      </c>
      <c r="G8" s="83"/>
      <c r="H8" s="83"/>
      <c r="I8" s="18" t="str">
        <f t="shared" si="2"/>
        <v/>
      </c>
      <c r="J8" s="84" t="str">
        <f t="shared" si="3"/>
        <v/>
      </c>
    </row>
    <row r="9" spans="1:19" ht="24.95" customHeight="1">
      <c r="A9" s="18">
        <v>3</v>
      </c>
      <c r="B9" s="15" t="s">
        <v>16</v>
      </c>
      <c r="C9" s="83">
        <v>0</v>
      </c>
      <c r="D9" s="83">
        <v>0</v>
      </c>
      <c r="E9" s="18" t="str">
        <f t="shared" si="4"/>
        <v/>
      </c>
      <c r="F9" s="84" t="str">
        <f t="shared" si="5"/>
        <v/>
      </c>
      <c r="G9" s="83">
        <v>0</v>
      </c>
      <c r="H9" s="83">
        <v>1</v>
      </c>
      <c r="I9" s="18">
        <f t="shared" si="2"/>
        <v>1</v>
      </c>
      <c r="J9" s="84">
        <f t="shared" si="3"/>
        <v>1</v>
      </c>
    </row>
    <row r="10" spans="1:19" ht="24.95" customHeight="1">
      <c r="A10" s="18">
        <v>4</v>
      </c>
      <c r="B10" s="15" t="s">
        <v>17</v>
      </c>
      <c r="C10" s="83">
        <v>21</v>
      </c>
      <c r="D10" s="83">
        <v>27</v>
      </c>
      <c r="E10" s="18">
        <f t="shared" si="4"/>
        <v>6</v>
      </c>
      <c r="F10" s="84">
        <f t="shared" si="5"/>
        <v>1.2857142857142858</v>
      </c>
      <c r="G10" s="83">
        <v>146</v>
      </c>
      <c r="H10" s="83">
        <v>180</v>
      </c>
      <c r="I10" s="18">
        <f t="shared" si="2"/>
        <v>34</v>
      </c>
      <c r="J10" s="84">
        <f t="shared" si="3"/>
        <v>1.2328767123287672</v>
      </c>
    </row>
    <row r="11" spans="1:19" ht="24.95" customHeight="1">
      <c r="A11" s="18">
        <v>5</v>
      </c>
      <c r="B11" s="15" t="s">
        <v>18</v>
      </c>
      <c r="C11" s="83">
        <v>27</v>
      </c>
      <c r="D11" s="83">
        <v>29</v>
      </c>
      <c r="E11" s="18">
        <f t="shared" si="4"/>
        <v>2</v>
      </c>
      <c r="F11" s="84">
        <f t="shared" si="5"/>
        <v>1.0740740740740742</v>
      </c>
      <c r="G11" s="83">
        <v>443</v>
      </c>
      <c r="H11" s="83">
        <v>370</v>
      </c>
      <c r="I11" s="18">
        <f t="shared" si="2"/>
        <v>-73</v>
      </c>
      <c r="J11" s="84">
        <f t="shared" si="3"/>
        <v>0.83521444695259595</v>
      </c>
    </row>
    <row r="12" spans="1:19" ht="24.95" customHeight="1">
      <c r="A12" s="18">
        <v>6</v>
      </c>
      <c r="B12" s="15" t="s">
        <v>152</v>
      </c>
      <c r="C12" s="83">
        <v>4</v>
      </c>
      <c r="D12" s="83">
        <v>12</v>
      </c>
      <c r="E12" s="18">
        <f t="shared" si="4"/>
        <v>8</v>
      </c>
      <c r="F12" s="84">
        <f t="shared" si="5"/>
        <v>3</v>
      </c>
      <c r="G12" s="83">
        <v>72</v>
      </c>
      <c r="H12" s="83">
        <v>106</v>
      </c>
      <c r="I12" s="18">
        <f t="shared" si="2"/>
        <v>34</v>
      </c>
      <c r="J12" s="84">
        <f t="shared" si="3"/>
        <v>1.4722222222222223</v>
      </c>
    </row>
    <row r="13" spans="1:19" ht="24.95" customHeight="1">
      <c r="A13" s="18">
        <v>7</v>
      </c>
      <c r="B13" s="15" t="s">
        <v>19</v>
      </c>
      <c r="C13" s="83">
        <v>45</v>
      </c>
      <c r="D13" s="83">
        <v>48</v>
      </c>
      <c r="E13" s="18">
        <f t="shared" ref="E13:E20" si="6">IF(AND(C13=0,D13=0),"",IFERROR(IF(OR(D13=0,D13=""),-C13,D13-C13),""))</f>
        <v>3</v>
      </c>
      <c r="F13" s="84">
        <f t="shared" ref="F13:F20" si="7">IF(AND(D13=0,C13=0),"",IFERROR(IF(C13=0, D13, D13/C13),""))</f>
        <v>1.0666666666666667</v>
      </c>
      <c r="G13" s="83">
        <v>289</v>
      </c>
      <c r="H13" s="83">
        <v>287</v>
      </c>
      <c r="I13" s="18">
        <f t="shared" si="2"/>
        <v>-2</v>
      </c>
      <c r="J13" s="84">
        <f t="shared" si="3"/>
        <v>0.99307958477508651</v>
      </c>
    </row>
    <row r="14" spans="1:19" ht="24.95" customHeight="1">
      <c r="A14" s="18">
        <v>8</v>
      </c>
      <c r="B14" s="15" t="s">
        <v>20</v>
      </c>
      <c r="C14" s="83">
        <v>0</v>
      </c>
      <c r="D14" s="83">
        <v>2</v>
      </c>
      <c r="E14" s="18">
        <f t="shared" si="6"/>
        <v>2</v>
      </c>
      <c r="F14" s="84">
        <f t="shared" si="7"/>
        <v>2</v>
      </c>
      <c r="G14" s="83">
        <v>8</v>
      </c>
      <c r="H14" s="83">
        <v>9</v>
      </c>
      <c r="I14" s="18">
        <f t="shared" si="2"/>
        <v>1</v>
      </c>
      <c r="J14" s="84">
        <f t="shared" si="3"/>
        <v>1.125</v>
      </c>
    </row>
    <row r="15" spans="1:19" ht="24.95" customHeight="1">
      <c r="A15" s="18">
        <v>9</v>
      </c>
      <c r="B15" s="15" t="s">
        <v>153</v>
      </c>
      <c r="C15" s="83">
        <v>40</v>
      </c>
      <c r="D15" s="83">
        <v>21</v>
      </c>
      <c r="E15" s="18">
        <f t="shared" si="6"/>
        <v>-19</v>
      </c>
      <c r="F15" s="84">
        <f t="shared" si="7"/>
        <v>0.52500000000000002</v>
      </c>
      <c r="G15" s="83">
        <v>88</v>
      </c>
      <c r="H15" s="83">
        <v>260</v>
      </c>
      <c r="I15" s="18">
        <f t="shared" si="2"/>
        <v>172</v>
      </c>
      <c r="J15" s="84">
        <f t="shared" si="3"/>
        <v>2.9545454545454546</v>
      </c>
    </row>
    <row r="16" spans="1:19" ht="24.95" customHeight="1">
      <c r="A16" s="18">
        <v>10</v>
      </c>
      <c r="B16" s="15" t="s">
        <v>154</v>
      </c>
      <c r="C16" s="83">
        <v>3</v>
      </c>
      <c r="D16" s="83">
        <v>5</v>
      </c>
      <c r="E16" s="18">
        <f t="shared" si="6"/>
        <v>2</v>
      </c>
      <c r="F16" s="84">
        <f t="shared" si="7"/>
        <v>1.6666666666666667</v>
      </c>
      <c r="G16" s="83">
        <v>12</v>
      </c>
      <c r="H16" s="83">
        <v>26</v>
      </c>
      <c r="I16" s="18">
        <f t="shared" si="2"/>
        <v>14</v>
      </c>
      <c r="J16" s="84">
        <f t="shared" si="3"/>
        <v>2.1666666666666665</v>
      </c>
    </row>
    <row r="17" spans="1:10" ht="24.95" customHeight="1">
      <c r="A17" s="18">
        <v>11</v>
      </c>
      <c r="B17" s="15" t="s">
        <v>21</v>
      </c>
      <c r="C17" s="83">
        <v>20</v>
      </c>
      <c r="D17" s="83">
        <v>42</v>
      </c>
      <c r="E17" s="18">
        <f t="shared" si="6"/>
        <v>22</v>
      </c>
      <c r="F17" s="84">
        <f t="shared" si="7"/>
        <v>2.1</v>
      </c>
      <c r="G17" s="83">
        <v>159</v>
      </c>
      <c r="H17" s="83">
        <v>192</v>
      </c>
      <c r="I17" s="18">
        <f t="shared" si="2"/>
        <v>33</v>
      </c>
      <c r="J17" s="84">
        <f t="shared" si="3"/>
        <v>1.2075471698113207</v>
      </c>
    </row>
    <row r="18" spans="1:10" ht="24.95" customHeight="1">
      <c r="A18" s="18">
        <v>12</v>
      </c>
      <c r="B18" s="29" t="s">
        <v>22</v>
      </c>
      <c r="C18" s="83">
        <v>113</v>
      </c>
      <c r="D18" s="83">
        <v>48</v>
      </c>
      <c r="E18" s="18">
        <f t="shared" si="6"/>
        <v>-65</v>
      </c>
      <c r="F18" s="84">
        <f t="shared" si="7"/>
        <v>0.4247787610619469</v>
      </c>
      <c r="G18" s="83">
        <v>825</v>
      </c>
      <c r="H18" s="83">
        <v>1067</v>
      </c>
      <c r="I18" s="18">
        <f t="shared" si="2"/>
        <v>242</v>
      </c>
      <c r="J18" s="84">
        <f t="shared" si="3"/>
        <v>1.2933333333333332</v>
      </c>
    </row>
    <row r="19" spans="1:10" ht="24.95" customHeight="1">
      <c r="A19" s="18">
        <v>13</v>
      </c>
      <c r="B19" s="29" t="s">
        <v>23</v>
      </c>
      <c r="C19" s="83">
        <v>24</v>
      </c>
      <c r="D19" s="83">
        <v>52</v>
      </c>
      <c r="E19" s="18">
        <f t="shared" si="6"/>
        <v>28</v>
      </c>
      <c r="F19" s="84">
        <f t="shared" si="7"/>
        <v>2.1666666666666665</v>
      </c>
      <c r="G19" s="83">
        <v>259</v>
      </c>
      <c r="H19" s="83">
        <v>215</v>
      </c>
      <c r="I19" s="18">
        <f t="shared" si="2"/>
        <v>-44</v>
      </c>
      <c r="J19" s="84">
        <f t="shared" si="3"/>
        <v>0.83011583011583012</v>
      </c>
    </row>
    <row r="20" spans="1:10" ht="24.95" customHeight="1">
      <c r="A20" s="18">
        <v>14</v>
      </c>
      <c r="B20" s="29" t="s">
        <v>24</v>
      </c>
      <c r="C20" s="83">
        <v>23</v>
      </c>
      <c r="D20" s="83">
        <v>86</v>
      </c>
      <c r="E20" s="18">
        <f t="shared" si="6"/>
        <v>63</v>
      </c>
      <c r="F20" s="84">
        <f t="shared" si="7"/>
        <v>3.7391304347826089</v>
      </c>
      <c r="G20" s="83">
        <v>133</v>
      </c>
      <c r="H20" s="83">
        <v>149</v>
      </c>
      <c r="I20" s="18">
        <f t="shared" si="2"/>
        <v>16</v>
      </c>
      <c r="J20" s="84">
        <f t="shared" si="3"/>
        <v>1.1203007518796992</v>
      </c>
    </row>
  </sheetData>
  <sheetProtection algorithmName="SHA-512" hashValue="nToJbYeMKVU9lv3Ho4DP/FmOZ82aZY7JRZBdZc0r+HbRcrynVEG/7yyHIO+lI3vpP3HVVP3VG0TFnnuQnBpHzA==" saltValue="lNb2xeu28iHICSqp/+Zysw==" spinCount="100000" sheet="1" objects="1" scenarios="1"/>
  <mergeCells count="4">
    <mergeCell ref="E4:F4"/>
    <mergeCell ref="I4:J4"/>
    <mergeCell ref="A1:I3"/>
    <mergeCell ref="J2:J3"/>
  </mergeCells>
  <pageMargins left="0.25" right="0.25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F3A34-E6FB-466C-A209-512C25322EEE}">
  <sheetPr>
    <pageSetUpPr fitToPage="1"/>
  </sheetPr>
  <dimension ref="A1:BN884"/>
  <sheetViews>
    <sheetView topLeftCell="A2" zoomScale="70" zoomScaleNormal="70" workbookViewId="0">
      <selection activeCell="N5" sqref="N5"/>
    </sheetView>
  </sheetViews>
  <sheetFormatPr defaultRowHeight="15"/>
  <cols>
    <col min="1" max="1" width="4.7109375" customWidth="1"/>
    <col min="2" max="2" width="31.5703125" customWidth="1"/>
    <col min="3" max="10" width="13.7109375" customWidth="1"/>
    <col min="11" max="68" width="9.7109375" customWidth="1"/>
    <col min="71" max="72" width="10.7109375" customWidth="1"/>
  </cols>
  <sheetData>
    <row r="1" spans="1:11" ht="15" customHeight="1">
      <c r="A1" s="168" t="s">
        <v>263</v>
      </c>
      <c r="B1" s="168"/>
      <c r="C1" s="168"/>
      <c r="D1" s="168"/>
      <c r="E1" s="168"/>
      <c r="F1" s="168"/>
      <c r="G1" s="168"/>
      <c r="H1" s="168"/>
      <c r="I1" s="168"/>
      <c r="J1" s="121" t="s">
        <v>14</v>
      </c>
      <c r="K1" s="6"/>
    </row>
    <row r="2" spans="1:11" ht="15" customHeight="1">
      <c r="A2" s="168"/>
      <c r="B2" s="168"/>
      <c r="C2" s="168"/>
      <c r="D2" s="168"/>
      <c r="E2" s="168"/>
      <c r="F2" s="168"/>
      <c r="G2" s="168"/>
      <c r="H2" s="168"/>
      <c r="I2" s="168"/>
      <c r="J2" s="166" t="s">
        <v>301</v>
      </c>
      <c r="K2" s="63"/>
    </row>
    <row r="3" spans="1:11" ht="15" customHeight="1">
      <c r="A3" s="169"/>
      <c r="B3" s="169"/>
      <c r="C3" s="169"/>
      <c r="D3" s="169"/>
      <c r="E3" s="169"/>
      <c r="F3" s="169"/>
      <c r="G3" s="169"/>
      <c r="H3" s="169"/>
      <c r="I3" s="169"/>
      <c r="J3" s="167"/>
      <c r="K3" s="47"/>
    </row>
    <row r="4" spans="1:11" ht="50.1" customHeight="1">
      <c r="A4" s="122"/>
      <c r="B4" s="123" t="s">
        <v>30</v>
      </c>
      <c r="C4" s="170" t="s">
        <v>144</v>
      </c>
      <c r="D4" s="171"/>
      <c r="E4" s="170" t="s">
        <v>252</v>
      </c>
      <c r="F4" s="171"/>
      <c r="G4" s="170" t="s">
        <v>144</v>
      </c>
      <c r="H4" s="171"/>
      <c r="I4" s="170" t="s">
        <v>252</v>
      </c>
      <c r="J4" s="171"/>
    </row>
    <row r="5" spans="1:11" ht="57.75" customHeight="1">
      <c r="A5" s="124"/>
      <c r="B5" s="124"/>
      <c r="C5" s="123" t="str">
        <f>"Факт " &amp;$J2 &amp; "               2023 г"</f>
        <v>Факт Сентябрь               2023 г</v>
      </c>
      <c r="D5" s="123" t="str">
        <f xml:space="preserve"> "Факт " &amp;$J2&amp; "               2024 г"</f>
        <v>Факт Сентябрь               2024 г</v>
      </c>
      <c r="E5" s="125" t="s">
        <v>3</v>
      </c>
      <c r="F5" s="126" t="s">
        <v>4</v>
      </c>
      <c r="G5" s="123" t="str">
        <f xml:space="preserve"> "Факт Январь -" &amp;$J2&amp; " 2023 г"</f>
        <v>Факт Январь -Сентябрь 2023 г</v>
      </c>
      <c r="H5" s="123" t="str">
        <f xml:space="preserve"> "Факт Январь -" &amp;$J2&amp; " 2024 г"</f>
        <v>Факт Январь -Сентябрь 2024 г</v>
      </c>
      <c r="I5" s="125" t="s">
        <v>3</v>
      </c>
      <c r="J5" s="126" t="s">
        <v>4</v>
      </c>
    </row>
    <row r="6" spans="1:11" ht="20.25" customHeight="1">
      <c r="A6" s="127" t="s">
        <v>1</v>
      </c>
      <c r="B6" s="126" t="s">
        <v>12</v>
      </c>
      <c r="C6" s="126">
        <v>1</v>
      </c>
      <c r="D6" s="126">
        <v>2</v>
      </c>
      <c r="E6" s="126">
        <v>3</v>
      </c>
      <c r="F6" s="126">
        <v>4</v>
      </c>
      <c r="G6" s="126">
        <v>5</v>
      </c>
      <c r="H6" s="126">
        <v>6</v>
      </c>
      <c r="I6" s="126">
        <v>7</v>
      </c>
      <c r="J6" s="126">
        <v>8</v>
      </c>
    </row>
    <row r="7" spans="1:11" ht="23.1" customHeight="1">
      <c r="A7" s="105">
        <v>1</v>
      </c>
      <c r="B7" s="128" t="s">
        <v>278</v>
      </c>
      <c r="C7" s="116" t="str">
        <f>IF(C48+C89+C130+C171+C212+C253+C294=0,"",C48+C89+C130+C171+C212+C253+C294)</f>
        <v/>
      </c>
      <c r="D7" s="116" t="str">
        <f t="shared" ref="D7:H7" si="0">IF(D48+D89+D130+D171+D212+D253+D294=0,"",D48+D89+D130+D171+D212+D253+D294)</f>
        <v/>
      </c>
      <c r="E7" s="122" t="str">
        <f t="shared" ref="E7" si="1">IF(AND(C7=0,D7=0),"",IFERROR(IF(OR(D7=0,D7=""),-C7,D7-C7),""))</f>
        <v/>
      </c>
      <c r="F7" s="129" t="str">
        <f t="shared" ref="F7" si="2">IF(AND(D7=0,C7=0),"",IFERROR(IF(C7=0, D7, D7/C7),""))</f>
        <v/>
      </c>
      <c r="G7" s="116" t="str">
        <f t="shared" si="0"/>
        <v/>
      </c>
      <c r="H7" s="116" t="str">
        <f t="shared" si="0"/>
        <v/>
      </c>
      <c r="I7" s="122" t="str">
        <f t="shared" ref="I7" si="3">IF(AND(G7=0,H7=0),"",IFERROR(IF(OR(H7=0,H7=""),-G7,H7-G7),""))</f>
        <v/>
      </c>
      <c r="J7" s="129" t="str">
        <f t="shared" ref="J7" si="4">IF(AND(H7=0,G7=0),"",IFERROR(IF(G7=0, H7, H7/G7),""))</f>
        <v/>
      </c>
    </row>
    <row r="8" spans="1:11" ht="23.1" customHeight="1">
      <c r="A8" s="105">
        <v>2</v>
      </c>
      <c r="B8" s="130" t="s">
        <v>32</v>
      </c>
      <c r="C8" s="116">
        <f t="shared" ref="C8:D41" si="5">IF(C49+C90+C131+C172+C213+C254+C295=0,"",C49+C90+C131+C172+C213+C254+C295)</f>
        <v>80</v>
      </c>
      <c r="D8" s="116">
        <f t="shared" si="5"/>
        <v>107</v>
      </c>
      <c r="E8" s="122">
        <f t="shared" ref="E8" si="6">IF(AND(C8=0,D8=0),"",IFERROR(IF(OR(D8=0,D8=""),-C8,D8-C8),""))</f>
        <v>27</v>
      </c>
      <c r="F8" s="129">
        <f t="shared" ref="F8" si="7">IF(AND(D8=0,C8=0),"",IFERROR(IF(C8=0, D8, D8/C8),""))</f>
        <v>1.3374999999999999</v>
      </c>
      <c r="G8" s="116">
        <f t="shared" ref="G8:H8" si="8">IF(G49+G90+G131+G172+G213+G254+G295=0,"",G49+G90+G131+G172+G213+G254+G295)</f>
        <v>80</v>
      </c>
      <c r="H8" s="116">
        <f t="shared" si="8"/>
        <v>107</v>
      </c>
      <c r="I8" s="122">
        <f t="shared" ref="I8:I27" si="9">IF(AND(G8=0,H8=0),"",IFERROR(IF(OR(H8=0,H8=""),-G8,H8-G8),""))</f>
        <v>27</v>
      </c>
      <c r="J8" s="129">
        <f t="shared" ref="J8:J27" si="10">IF(AND(H8=0,G8=0),"",IFERROR(IF(G8=0, H8, H8/G8),""))</f>
        <v>1.3374999999999999</v>
      </c>
    </row>
    <row r="9" spans="1:11" ht="23.1" customHeight="1">
      <c r="A9" s="105">
        <v>3</v>
      </c>
      <c r="B9" s="130" t="s">
        <v>162</v>
      </c>
      <c r="C9" s="116">
        <f t="shared" si="5"/>
        <v>56</v>
      </c>
      <c r="D9" s="116">
        <f t="shared" si="5"/>
        <v>66</v>
      </c>
      <c r="E9" s="122">
        <f t="shared" ref="E9:E11" si="11">IF(AND(C9=0,D9=0),"",IFERROR(IF(OR(D9=0,D9=""),-C9,D9-C9),""))</f>
        <v>10</v>
      </c>
      <c r="F9" s="129">
        <f t="shared" ref="F9:F11" si="12">IF(AND(D9=0,C9=0),"",IFERROR(IF(C9=0, D9, D9/C9),""))</f>
        <v>1.1785714285714286</v>
      </c>
      <c r="G9" s="116">
        <f t="shared" ref="G9:H9" si="13">IF(G50+G91+G132+G173+G214+G255+G296=0,"",G50+G91+G132+G173+G214+G255+G296)</f>
        <v>56</v>
      </c>
      <c r="H9" s="116">
        <f t="shared" si="13"/>
        <v>66</v>
      </c>
      <c r="I9" s="122">
        <f t="shared" si="9"/>
        <v>10</v>
      </c>
      <c r="J9" s="129">
        <f t="shared" si="10"/>
        <v>1.1785714285714286</v>
      </c>
    </row>
    <row r="10" spans="1:11" ht="23.1" customHeight="1">
      <c r="A10" s="105">
        <v>4</v>
      </c>
      <c r="B10" s="130" t="s">
        <v>163</v>
      </c>
      <c r="C10" s="116">
        <f t="shared" si="5"/>
        <v>27</v>
      </c>
      <c r="D10" s="116">
        <f t="shared" si="5"/>
        <v>33</v>
      </c>
      <c r="E10" s="122">
        <f t="shared" si="11"/>
        <v>6</v>
      </c>
      <c r="F10" s="129">
        <f t="shared" si="12"/>
        <v>1.2222222222222223</v>
      </c>
      <c r="G10" s="116">
        <f t="shared" ref="G10:H10" si="14">IF(G51+G92+G133+G174+G215+G256+G297=0,"",G51+G92+G133+G174+G215+G256+G297)</f>
        <v>27</v>
      </c>
      <c r="H10" s="116">
        <f t="shared" si="14"/>
        <v>33</v>
      </c>
      <c r="I10" s="122">
        <f t="shared" si="9"/>
        <v>6</v>
      </c>
      <c r="J10" s="129">
        <f t="shared" si="10"/>
        <v>1.2222222222222223</v>
      </c>
    </row>
    <row r="11" spans="1:11" ht="23.1" customHeight="1">
      <c r="A11" s="105">
        <v>5</v>
      </c>
      <c r="B11" s="130" t="s">
        <v>164</v>
      </c>
      <c r="C11" s="116" t="str">
        <f t="shared" si="5"/>
        <v/>
      </c>
      <c r="D11" s="116" t="str">
        <f t="shared" si="5"/>
        <v/>
      </c>
      <c r="E11" s="122" t="str">
        <f t="shared" si="11"/>
        <v/>
      </c>
      <c r="F11" s="129" t="str">
        <f t="shared" si="12"/>
        <v/>
      </c>
      <c r="G11" s="116" t="str">
        <f t="shared" ref="G11:H11" si="15">IF(G52+G93+G134+G175+G216+G257+G298=0,"",G52+G93+G134+G175+G216+G257+G298)</f>
        <v/>
      </c>
      <c r="H11" s="116" t="str">
        <f t="shared" si="15"/>
        <v/>
      </c>
      <c r="I11" s="122" t="str">
        <f t="shared" si="9"/>
        <v/>
      </c>
      <c r="J11" s="129" t="str">
        <f t="shared" si="10"/>
        <v/>
      </c>
    </row>
    <row r="12" spans="1:11" ht="23.1" customHeight="1">
      <c r="A12" s="105">
        <v>6</v>
      </c>
      <c r="B12" s="131" t="s">
        <v>165</v>
      </c>
      <c r="C12" s="116">
        <f t="shared" si="5"/>
        <v>36</v>
      </c>
      <c r="D12" s="116">
        <f t="shared" si="5"/>
        <v>35</v>
      </c>
      <c r="E12" s="122">
        <f t="shared" ref="E12:E16" si="16">IF(AND(C12=0,D12=0),"",IFERROR(IF(OR(D12=0,D12=""),-C12,D12-C12),""))</f>
        <v>-1</v>
      </c>
      <c r="F12" s="129">
        <f t="shared" ref="F12:F16" si="17">IF(AND(D12=0,C12=0),"",IFERROR(IF(C12=0, D12, D12/C12),""))</f>
        <v>0.97222222222222221</v>
      </c>
      <c r="G12" s="116">
        <f t="shared" ref="G12:H12" si="18">IF(G53+G94+G135+G176+G217+G258+G299=0,"",G53+G94+G135+G176+G217+G258+G299)</f>
        <v>36</v>
      </c>
      <c r="H12" s="116">
        <f t="shared" si="18"/>
        <v>35</v>
      </c>
      <c r="I12" s="122">
        <f t="shared" si="9"/>
        <v>-1</v>
      </c>
      <c r="J12" s="129">
        <f t="shared" si="10"/>
        <v>0.97222222222222221</v>
      </c>
    </row>
    <row r="13" spans="1:11" ht="23.1" customHeight="1">
      <c r="A13" s="105">
        <v>7</v>
      </c>
      <c r="B13" s="130" t="s">
        <v>33</v>
      </c>
      <c r="C13" s="116" t="str">
        <f t="shared" si="5"/>
        <v/>
      </c>
      <c r="D13" s="116" t="str">
        <f t="shared" si="5"/>
        <v/>
      </c>
      <c r="E13" s="122" t="str">
        <f t="shared" si="16"/>
        <v/>
      </c>
      <c r="F13" s="129" t="str">
        <f t="shared" si="17"/>
        <v/>
      </c>
      <c r="G13" s="116" t="str">
        <f t="shared" ref="G13:H13" si="19">IF(G54+G95+G136+G177+G218+G259+G300=0,"",G54+G95+G136+G177+G218+G259+G300)</f>
        <v/>
      </c>
      <c r="H13" s="116" t="str">
        <f t="shared" si="19"/>
        <v/>
      </c>
      <c r="I13" s="122" t="str">
        <f t="shared" si="9"/>
        <v/>
      </c>
      <c r="J13" s="129" t="str">
        <f t="shared" si="10"/>
        <v/>
      </c>
    </row>
    <row r="14" spans="1:11" ht="23.1" customHeight="1">
      <c r="A14" s="105">
        <v>8</v>
      </c>
      <c r="B14" s="130" t="s">
        <v>141</v>
      </c>
      <c r="C14" s="116">
        <f t="shared" si="5"/>
        <v>51</v>
      </c>
      <c r="D14" s="116">
        <f t="shared" si="5"/>
        <v>79</v>
      </c>
      <c r="E14" s="122">
        <f t="shared" si="16"/>
        <v>28</v>
      </c>
      <c r="F14" s="129">
        <f t="shared" si="17"/>
        <v>1.5490196078431373</v>
      </c>
      <c r="G14" s="116">
        <f t="shared" ref="G14:H14" si="20">IF(G55+G96+G137+G178+G219+G260+G301=0,"",G55+G96+G137+G178+G219+G260+G301)</f>
        <v>51</v>
      </c>
      <c r="H14" s="116">
        <f t="shared" si="20"/>
        <v>79</v>
      </c>
      <c r="I14" s="122">
        <f t="shared" si="9"/>
        <v>28</v>
      </c>
      <c r="J14" s="129">
        <f t="shared" si="10"/>
        <v>1.5490196078431373</v>
      </c>
    </row>
    <row r="15" spans="1:11" ht="23.1" customHeight="1">
      <c r="A15" s="105">
        <v>9</v>
      </c>
      <c r="B15" s="130" t="s">
        <v>37</v>
      </c>
      <c r="C15" s="116">
        <f t="shared" si="5"/>
        <v>185</v>
      </c>
      <c r="D15" s="116">
        <f t="shared" si="5"/>
        <v>137</v>
      </c>
      <c r="E15" s="122">
        <f t="shared" si="16"/>
        <v>-48</v>
      </c>
      <c r="F15" s="129">
        <f t="shared" si="17"/>
        <v>0.74054054054054053</v>
      </c>
      <c r="G15" s="116">
        <f t="shared" ref="G15:H15" si="21">IF(G56+G97+G138+G179+G220+G261+G302=0,"",G56+G97+G138+G179+G220+G261+G302)</f>
        <v>185</v>
      </c>
      <c r="H15" s="116">
        <f t="shared" si="21"/>
        <v>137</v>
      </c>
      <c r="I15" s="122">
        <f t="shared" si="9"/>
        <v>-48</v>
      </c>
      <c r="J15" s="129">
        <f t="shared" si="10"/>
        <v>0.74054054054054053</v>
      </c>
    </row>
    <row r="16" spans="1:11" ht="23.1" customHeight="1">
      <c r="A16" s="105">
        <v>10</v>
      </c>
      <c r="B16" s="130" t="s">
        <v>38</v>
      </c>
      <c r="C16" s="116">
        <f t="shared" si="5"/>
        <v>47</v>
      </c>
      <c r="D16" s="116">
        <f t="shared" si="5"/>
        <v>62</v>
      </c>
      <c r="E16" s="122">
        <f t="shared" si="16"/>
        <v>15</v>
      </c>
      <c r="F16" s="129">
        <f t="shared" si="17"/>
        <v>1.3191489361702127</v>
      </c>
      <c r="G16" s="116">
        <f t="shared" ref="G16:H16" si="22">IF(G57+G98+G139+G180+G221+G262+G303=0,"",G57+G98+G139+G180+G221+G262+G303)</f>
        <v>47</v>
      </c>
      <c r="H16" s="116">
        <f t="shared" si="22"/>
        <v>62</v>
      </c>
      <c r="I16" s="122">
        <f t="shared" si="9"/>
        <v>15</v>
      </c>
      <c r="J16" s="129">
        <f t="shared" si="10"/>
        <v>1.3191489361702127</v>
      </c>
    </row>
    <row r="17" spans="1:10" ht="23.1" customHeight="1">
      <c r="A17" s="105">
        <v>11</v>
      </c>
      <c r="B17" s="130" t="s">
        <v>142</v>
      </c>
      <c r="C17" s="116">
        <f t="shared" si="5"/>
        <v>398830.58999999997</v>
      </c>
      <c r="D17" s="116">
        <f t="shared" si="5"/>
        <v>294878.8</v>
      </c>
      <c r="E17" s="122">
        <f t="shared" ref="E17:E36" si="23">IF(AND(C17=0,D17=0),"",IFERROR(IF(OR(D17=0,D17=""),-C17,D17-C17),""))</f>
        <v>-103951.78999999998</v>
      </c>
      <c r="F17" s="129">
        <f t="shared" ref="F17:F36" si="24">IF(AND(D17=0,C17=0),"",IFERROR(IF(C17=0, D17, D17/C17),""))</f>
        <v>0.73935853315564393</v>
      </c>
      <c r="G17" s="116">
        <f t="shared" ref="G17:H17" si="25">IF(G58+G99+G140+G181+G222+G263+G304=0,"",G58+G99+G140+G181+G222+G263+G304)</f>
        <v>398830.58999999997</v>
      </c>
      <c r="H17" s="116">
        <f t="shared" si="25"/>
        <v>294878.8</v>
      </c>
      <c r="I17" s="122">
        <f t="shared" si="9"/>
        <v>-103951.78999999998</v>
      </c>
      <c r="J17" s="129">
        <f t="shared" si="10"/>
        <v>0.73935853315564393</v>
      </c>
    </row>
    <row r="18" spans="1:10" ht="23.1" customHeight="1">
      <c r="A18" s="105">
        <v>12</v>
      </c>
      <c r="B18" s="130" t="s">
        <v>39</v>
      </c>
      <c r="C18" s="116">
        <f t="shared" si="5"/>
        <v>29</v>
      </c>
      <c r="D18" s="116">
        <f t="shared" si="5"/>
        <v>25</v>
      </c>
      <c r="E18" s="122">
        <f t="shared" si="23"/>
        <v>-4</v>
      </c>
      <c r="F18" s="129">
        <f t="shared" si="24"/>
        <v>0.86206896551724133</v>
      </c>
      <c r="G18" s="116">
        <f t="shared" ref="G18:H18" si="26">IF(G59+G100+G141+G182+G223+G264+G305=0,"",G59+G100+G141+G182+G223+G264+G305)</f>
        <v>29</v>
      </c>
      <c r="H18" s="116">
        <f t="shared" si="26"/>
        <v>25</v>
      </c>
      <c r="I18" s="122">
        <f t="shared" si="9"/>
        <v>-4</v>
      </c>
      <c r="J18" s="129">
        <f t="shared" si="10"/>
        <v>0.86206896551724133</v>
      </c>
    </row>
    <row r="19" spans="1:10" ht="23.1" customHeight="1">
      <c r="A19" s="105">
        <v>13</v>
      </c>
      <c r="B19" s="130" t="s">
        <v>142</v>
      </c>
      <c r="C19" s="116">
        <f t="shared" si="5"/>
        <v>19246.25</v>
      </c>
      <c r="D19" s="116">
        <f t="shared" si="5"/>
        <v>33269.759999999995</v>
      </c>
      <c r="E19" s="122">
        <f t="shared" si="23"/>
        <v>14023.509999999995</v>
      </c>
      <c r="F19" s="129">
        <f t="shared" si="24"/>
        <v>1.7286359680457228</v>
      </c>
      <c r="G19" s="116">
        <f t="shared" ref="G19:H19" si="27">IF(G60+G101+G142+G183+G224+G265+G306=0,"",G60+G101+G142+G183+G224+G265+G306)</f>
        <v>19246.25</v>
      </c>
      <c r="H19" s="116">
        <f t="shared" si="27"/>
        <v>33269.759999999995</v>
      </c>
      <c r="I19" s="122">
        <f t="shared" si="9"/>
        <v>14023.509999999995</v>
      </c>
      <c r="J19" s="129">
        <f t="shared" si="10"/>
        <v>1.7286359680457228</v>
      </c>
    </row>
    <row r="20" spans="1:10" ht="23.1" customHeight="1">
      <c r="A20" s="105">
        <v>14</v>
      </c>
      <c r="B20" s="130" t="s">
        <v>40</v>
      </c>
      <c r="C20" s="116">
        <f t="shared" si="5"/>
        <v>16</v>
      </c>
      <c r="D20" s="116">
        <f t="shared" si="5"/>
        <v>12</v>
      </c>
      <c r="E20" s="122">
        <f t="shared" si="23"/>
        <v>-4</v>
      </c>
      <c r="F20" s="129">
        <f t="shared" si="24"/>
        <v>0.75</v>
      </c>
      <c r="G20" s="116">
        <f t="shared" ref="G20:H20" si="28">IF(G61+G102+G143+G184+G225+G266+G307=0,"",G61+G102+G143+G184+G225+G266+G307)</f>
        <v>16</v>
      </c>
      <c r="H20" s="116">
        <f t="shared" si="28"/>
        <v>12</v>
      </c>
      <c r="I20" s="122">
        <f t="shared" si="9"/>
        <v>-4</v>
      </c>
      <c r="J20" s="129">
        <f t="shared" si="10"/>
        <v>0.75</v>
      </c>
    </row>
    <row r="21" spans="1:10" ht="23.1" customHeight="1">
      <c r="A21" s="105">
        <v>15</v>
      </c>
      <c r="B21" s="130" t="s">
        <v>142</v>
      </c>
      <c r="C21" s="116">
        <f t="shared" si="5"/>
        <v>21411.21</v>
      </c>
      <c r="D21" s="116">
        <f t="shared" si="5"/>
        <v>12882.060000000001</v>
      </c>
      <c r="E21" s="122">
        <f t="shared" si="23"/>
        <v>-8529.1499999999978</v>
      </c>
      <c r="F21" s="129">
        <f t="shared" si="24"/>
        <v>0.60165025703825248</v>
      </c>
      <c r="G21" s="116">
        <f t="shared" ref="G21:H21" si="29">IF(G62+G103+G144+G185+G226+G267+G308=0,"",G62+G103+G144+G185+G226+G267+G308)</f>
        <v>21411.21</v>
      </c>
      <c r="H21" s="116">
        <f t="shared" si="29"/>
        <v>12882.060000000001</v>
      </c>
      <c r="I21" s="122">
        <f t="shared" si="9"/>
        <v>-8529.1499999999978</v>
      </c>
      <c r="J21" s="129">
        <f t="shared" si="10"/>
        <v>0.60165025703825248</v>
      </c>
    </row>
    <row r="22" spans="1:10" ht="23.1" customHeight="1">
      <c r="A22" s="105">
        <v>16</v>
      </c>
      <c r="B22" s="130" t="s">
        <v>143</v>
      </c>
      <c r="C22" s="116">
        <f t="shared" si="5"/>
        <v>8</v>
      </c>
      <c r="D22" s="116">
        <f t="shared" si="5"/>
        <v>7</v>
      </c>
      <c r="E22" s="122">
        <f t="shared" si="23"/>
        <v>-1</v>
      </c>
      <c r="F22" s="129">
        <f t="shared" si="24"/>
        <v>0.875</v>
      </c>
      <c r="G22" s="116">
        <f t="shared" ref="G22:H22" si="30">IF(G63+G104+G145+G186+G227+G268+G309=0,"",G63+G104+G145+G186+G227+G268+G309)</f>
        <v>8</v>
      </c>
      <c r="H22" s="116">
        <f t="shared" si="30"/>
        <v>7</v>
      </c>
      <c r="I22" s="122">
        <f t="shared" si="9"/>
        <v>-1</v>
      </c>
      <c r="J22" s="129">
        <f t="shared" si="10"/>
        <v>0.875</v>
      </c>
    </row>
    <row r="23" spans="1:10" ht="23.1" customHeight="1">
      <c r="A23" s="105">
        <v>17</v>
      </c>
      <c r="B23" s="128" t="s">
        <v>142</v>
      </c>
      <c r="C23" s="116">
        <f t="shared" si="5"/>
        <v>153101.83000000002</v>
      </c>
      <c r="D23" s="116">
        <f t="shared" si="5"/>
        <v>18994.699999999997</v>
      </c>
      <c r="E23" s="122">
        <f t="shared" si="23"/>
        <v>-134107.13</v>
      </c>
      <c r="F23" s="129">
        <f t="shared" si="24"/>
        <v>0.1240657933350633</v>
      </c>
      <c r="G23" s="116">
        <f t="shared" ref="G23:H23" si="31">IF(G64+G105+G146+G187+G228+G269+G310=0,"",G64+G105+G146+G187+G228+G269+G310)</f>
        <v>153101.83000000002</v>
      </c>
      <c r="H23" s="116">
        <f t="shared" si="31"/>
        <v>18994.699999999997</v>
      </c>
      <c r="I23" s="122">
        <f t="shared" si="9"/>
        <v>-134107.13</v>
      </c>
      <c r="J23" s="129">
        <f t="shared" si="10"/>
        <v>0.1240657933350633</v>
      </c>
    </row>
    <row r="24" spans="1:10" ht="23.1" customHeight="1">
      <c r="A24" s="105">
        <v>18</v>
      </c>
      <c r="B24" s="128" t="s">
        <v>42</v>
      </c>
      <c r="C24" s="116">
        <f t="shared" si="5"/>
        <v>5</v>
      </c>
      <c r="D24" s="116">
        <f t="shared" si="5"/>
        <v>6</v>
      </c>
      <c r="E24" s="122">
        <f t="shared" si="23"/>
        <v>1</v>
      </c>
      <c r="F24" s="129">
        <f t="shared" si="24"/>
        <v>1.2</v>
      </c>
      <c r="G24" s="116">
        <f t="shared" ref="G24:H24" si="32">IF(G65+G106+G147+G188+G229+G270+G311=0,"",G65+G106+G147+G188+G229+G270+G311)</f>
        <v>3</v>
      </c>
      <c r="H24" s="116">
        <f t="shared" si="32"/>
        <v>6</v>
      </c>
      <c r="I24" s="122">
        <f t="shared" si="9"/>
        <v>3</v>
      </c>
      <c r="J24" s="129">
        <f t="shared" si="10"/>
        <v>2</v>
      </c>
    </row>
    <row r="25" spans="1:10" ht="23.1" customHeight="1">
      <c r="A25" s="105">
        <v>19</v>
      </c>
      <c r="B25" s="128" t="s">
        <v>142</v>
      </c>
      <c r="C25" s="116">
        <f t="shared" si="5"/>
        <v>1596.7</v>
      </c>
      <c r="D25" s="116">
        <f t="shared" si="5"/>
        <v>11837.500000000002</v>
      </c>
      <c r="E25" s="122">
        <f t="shared" si="23"/>
        <v>10240.800000000001</v>
      </c>
      <c r="F25" s="129">
        <f t="shared" si="24"/>
        <v>7.4137283146489645</v>
      </c>
      <c r="G25" s="116">
        <f t="shared" ref="G25:H25" si="33">IF(G66+G107+G148+G189+G230+G271+G312=0,"",G66+G107+G148+G189+G230+G271+G312)</f>
        <v>1596.7</v>
      </c>
      <c r="H25" s="116">
        <f t="shared" si="33"/>
        <v>11837.500000000002</v>
      </c>
      <c r="I25" s="122">
        <f t="shared" si="9"/>
        <v>10240.800000000001</v>
      </c>
      <c r="J25" s="129">
        <f t="shared" si="10"/>
        <v>7.4137283146489645</v>
      </c>
    </row>
    <row r="26" spans="1:10" ht="23.1" customHeight="1">
      <c r="A26" s="105">
        <v>20</v>
      </c>
      <c r="B26" s="130" t="s">
        <v>302</v>
      </c>
      <c r="C26" s="116">
        <f t="shared" si="5"/>
        <v>11</v>
      </c>
      <c r="D26" s="116">
        <f t="shared" si="5"/>
        <v>6</v>
      </c>
      <c r="E26" s="122">
        <f t="shared" si="23"/>
        <v>-5</v>
      </c>
      <c r="F26" s="129">
        <f t="shared" si="24"/>
        <v>0.54545454545454541</v>
      </c>
      <c r="G26" s="116">
        <f t="shared" ref="G26:H26" si="34">IF(G67+G108+G149+G190+G231+G272+G313=0,"",G67+G108+G149+G190+G231+G272+G313)</f>
        <v>11</v>
      </c>
      <c r="H26" s="116">
        <f t="shared" si="34"/>
        <v>6</v>
      </c>
      <c r="I26" s="122">
        <f t="shared" si="9"/>
        <v>-5</v>
      </c>
      <c r="J26" s="129">
        <f t="shared" si="10"/>
        <v>0.54545454545454541</v>
      </c>
    </row>
    <row r="27" spans="1:10" ht="23.1" customHeight="1">
      <c r="A27" s="105">
        <v>21</v>
      </c>
      <c r="B27" s="130" t="s">
        <v>38</v>
      </c>
      <c r="C27" s="116">
        <f>C68+C109+C150+C191+C232+C273+C314</f>
        <v>7755.5</v>
      </c>
      <c r="D27" s="116">
        <f t="shared" si="5"/>
        <v>2776.1</v>
      </c>
      <c r="E27" s="122">
        <f t="shared" si="23"/>
        <v>-4979.3999999999996</v>
      </c>
      <c r="F27" s="129">
        <f t="shared" si="24"/>
        <v>0.35795242086261364</v>
      </c>
      <c r="G27" s="116">
        <f t="shared" ref="G27:H27" si="35">IF(G68+G109+G150+G191+G232+G273+G314=0,"",G68+G109+G150+G191+G232+G273+G314)</f>
        <v>7755.5</v>
      </c>
      <c r="H27" s="116">
        <f t="shared" si="35"/>
        <v>2776.1</v>
      </c>
      <c r="I27" s="122">
        <f t="shared" si="9"/>
        <v>-4979.3999999999996</v>
      </c>
      <c r="J27" s="129">
        <f t="shared" si="10"/>
        <v>0.35795242086261364</v>
      </c>
    </row>
    <row r="28" spans="1:10" ht="23.1" customHeight="1">
      <c r="A28" s="105">
        <v>22</v>
      </c>
      <c r="B28" s="130" t="s">
        <v>39</v>
      </c>
      <c r="C28" s="116">
        <f t="shared" ref="C28:D28" si="36">C69+C110+C151+C192+C233+C274+C315</f>
        <v>0</v>
      </c>
      <c r="D28" s="116">
        <f t="shared" si="36"/>
        <v>0</v>
      </c>
      <c r="E28" s="122" t="str">
        <f t="shared" si="23"/>
        <v/>
      </c>
      <c r="F28" s="129" t="str">
        <f t="shared" si="24"/>
        <v/>
      </c>
      <c r="G28" s="116">
        <f t="shared" ref="G28:H32" si="37">G69+G110+G151+G192+G233+G274+G315</f>
        <v>0</v>
      </c>
      <c r="H28" s="116">
        <f t="shared" si="37"/>
        <v>0</v>
      </c>
      <c r="I28" s="122" t="str">
        <f t="shared" ref="I28:I41" si="38">IF(AND(G28=0,H28=0),"",IFERROR(IF(OR(H28=0,H28=""),-G28,H28-G28),""))</f>
        <v/>
      </c>
      <c r="J28" s="129" t="str">
        <f>IF(AND(H28=0,G28=0),"",IFERROR(IF(G28=0, H28, H28/G28),""))</f>
        <v/>
      </c>
    </row>
    <row r="29" spans="1:10" ht="23.1" customHeight="1">
      <c r="A29" s="105">
        <v>23</v>
      </c>
      <c r="B29" s="130" t="s">
        <v>40</v>
      </c>
      <c r="C29" s="116">
        <f t="shared" ref="C29:D29" si="39">C70+C111+C152+C193+C234+C275+C316</f>
        <v>0</v>
      </c>
      <c r="D29" s="116">
        <f t="shared" si="39"/>
        <v>0</v>
      </c>
      <c r="E29" s="122" t="str">
        <f t="shared" si="23"/>
        <v/>
      </c>
      <c r="F29" s="129" t="str">
        <f t="shared" si="24"/>
        <v/>
      </c>
      <c r="G29" s="116">
        <f t="shared" si="37"/>
        <v>0</v>
      </c>
      <c r="H29" s="116">
        <f t="shared" si="37"/>
        <v>0</v>
      </c>
      <c r="I29" s="122" t="str">
        <f>IF(AND(G29=0,H29=0),"",IFERROR(IF(OR(H29=0,H29=""),-G29,H29-G29),""))</f>
        <v/>
      </c>
      <c r="J29" s="129" t="str">
        <f t="shared" ref="J29:J41" si="40">IF(AND(H29=0,G29=0),"",IFERROR(IF(G29=0, H29, H29/G29),""))</f>
        <v/>
      </c>
    </row>
    <row r="30" spans="1:10" ht="23.1" customHeight="1">
      <c r="A30" s="105">
        <v>24</v>
      </c>
      <c r="B30" s="130" t="s">
        <v>143</v>
      </c>
      <c r="C30" s="116">
        <f t="shared" ref="C30:D30" si="41">C71+C112+C153+C194+C235+C276+C317</f>
        <v>0</v>
      </c>
      <c r="D30" s="116">
        <f t="shared" si="41"/>
        <v>0</v>
      </c>
      <c r="E30" s="122" t="str">
        <f t="shared" si="23"/>
        <v/>
      </c>
      <c r="F30" s="129" t="str">
        <f t="shared" si="24"/>
        <v/>
      </c>
      <c r="G30" s="116">
        <f t="shared" si="37"/>
        <v>0</v>
      </c>
      <c r="H30" s="116">
        <f t="shared" si="37"/>
        <v>0</v>
      </c>
      <c r="I30" s="122" t="str">
        <f t="shared" si="38"/>
        <v/>
      </c>
      <c r="J30" s="129" t="str">
        <f t="shared" si="40"/>
        <v/>
      </c>
    </row>
    <row r="31" spans="1:10" ht="23.1" customHeight="1">
      <c r="A31" s="105">
        <v>25</v>
      </c>
      <c r="B31" s="130" t="s">
        <v>42</v>
      </c>
      <c r="C31" s="116">
        <f t="shared" ref="C31:D31" si="42">C72+C113+C154+C195+C236+C277+C318</f>
        <v>0</v>
      </c>
      <c r="D31" s="116">
        <f t="shared" si="42"/>
        <v>0</v>
      </c>
      <c r="E31" s="122" t="str">
        <f t="shared" si="23"/>
        <v/>
      </c>
      <c r="F31" s="129" t="str">
        <f t="shared" si="24"/>
        <v/>
      </c>
      <c r="G31" s="116">
        <f t="shared" si="37"/>
        <v>0</v>
      </c>
      <c r="H31" s="116">
        <f t="shared" si="37"/>
        <v>0</v>
      </c>
      <c r="I31" s="122" t="str">
        <f t="shared" si="38"/>
        <v/>
      </c>
      <c r="J31" s="129" t="str">
        <f t="shared" si="40"/>
        <v/>
      </c>
    </row>
    <row r="32" spans="1:10" ht="23.1" customHeight="1">
      <c r="A32" s="105">
        <v>26</v>
      </c>
      <c r="B32" s="130" t="s">
        <v>43</v>
      </c>
      <c r="C32" s="116">
        <f t="shared" ref="C32:D32" si="43">C73+C114+C155+C196+C237+C278+C319</f>
        <v>0</v>
      </c>
      <c r="D32" s="116">
        <f t="shared" si="43"/>
        <v>0</v>
      </c>
      <c r="E32" s="122" t="str">
        <f t="shared" si="23"/>
        <v/>
      </c>
      <c r="F32" s="129" t="str">
        <f t="shared" si="24"/>
        <v/>
      </c>
      <c r="G32" s="116">
        <f t="shared" si="37"/>
        <v>0</v>
      </c>
      <c r="H32" s="116">
        <f t="shared" si="37"/>
        <v>0</v>
      </c>
      <c r="I32" s="122" t="str">
        <f t="shared" si="38"/>
        <v/>
      </c>
      <c r="J32" s="129" t="str">
        <f t="shared" si="40"/>
        <v/>
      </c>
    </row>
    <row r="33" spans="1:66" ht="23.1" customHeight="1">
      <c r="A33" s="105">
        <v>27</v>
      </c>
      <c r="B33" s="128" t="s">
        <v>166</v>
      </c>
      <c r="C33" s="116">
        <f t="shared" si="5"/>
        <v>188</v>
      </c>
      <c r="D33" s="116">
        <f t="shared" si="5"/>
        <v>214</v>
      </c>
      <c r="E33" s="122">
        <f t="shared" si="23"/>
        <v>26</v>
      </c>
      <c r="F33" s="129">
        <f t="shared" si="24"/>
        <v>1.1382978723404256</v>
      </c>
      <c r="G33" s="116">
        <f t="shared" ref="G33:H33" si="44">IF(G74+G115+G156+G197+G238+G279+G320=0,"",G74+G115+G156+G197+G238+G279+G320)</f>
        <v>188</v>
      </c>
      <c r="H33" s="116">
        <f t="shared" si="44"/>
        <v>214</v>
      </c>
      <c r="I33" s="122">
        <f t="shared" si="38"/>
        <v>26</v>
      </c>
      <c r="J33" s="129">
        <f t="shared" si="40"/>
        <v>1.1382978723404256</v>
      </c>
    </row>
    <row r="34" spans="1:66" ht="23.1" customHeight="1">
      <c r="A34" s="105">
        <v>28</v>
      </c>
      <c r="B34" s="130" t="s">
        <v>37</v>
      </c>
      <c r="C34" s="116">
        <f t="shared" si="5"/>
        <v>161</v>
      </c>
      <c r="D34" s="116">
        <f t="shared" si="5"/>
        <v>160</v>
      </c>
      <c r="E34" s="122">
        <f t="shared" si="23"/>
        <v>-1</v>
      </c>
      <c r="F34" s="129">
        <f t="shared" si="24"/>
        <v>0.99378881987577639</v>
      </c>
      <c r="G34" s="116">
        <f t="shared" ref="G34:H34" si="45">IF(G75+G116+G157+G198+G239+G280+G321=0,"",G75+G116+G157+G198+G239+G280+G321)</f>
        <v>150</v>
      </c>
      <c r="H34" s="116">
        <f t="shared" si="45"/>
        <v>149</v>
      </c>
      <c r="I34" s="122">
        <f t="shared" si="38"/>
        <v>-1</v>
      </c>
      <c r="J34" s="129">
        <f t="shared" si="40"/>
        <v>0.99333333333333329</v>
      </c>
    </row>
    <row r="35" spans="1:66" ht="23.1" customHeight="1">
      <c r="A35" s="105">
        <v>29</v>
      </c>
      <c r="B35" s="130" t="s">
        <v>38</v>
      </c>
      <c r="C35" s="116">
        <f t="shared" si="5"/>
        <v>11</v>
      </c>
      <c r="D35" s="116">
        <f t="shared" si="5"/>
        <v>27</v>
      </c>
      <c r="E35" s="122">
        <f t="shared" si="23"/>
        <v>16</v>
      </c>
      <c r="F35" s="129">
        <f t="shared" si="24"/>
        <v>2.4545454545454546</v>
      </c>
      <c r="G35" s="116">
        <f t="shared" ref="G35:H35" si="46">IF(G76+G117+G158+G199+G240+G281+G322=0,"",G76+G117+G158+G199+G240+G281+G322)</f>
        <v>11</v>
      </c>
      <c r="H35" s="116">
        <f t="shared" si="46"/>
        <v>27</v>
      </c>
      <c r="I35" s="122">
        <f t="shared" si="38"/>
        <v>16</v>
      </c>
      <c r="J35" s="129">
        <f t="shared" si="40"/>
        <v>2.4545454545454546</v>
      </c>
    </row>
    <row r="36" spans="1:66" ht="23.1" customHeight="1">
      <c r="A36" s="105">
        <v>30</v>
      </c>
      <c r="B36" s="130" t="s">
        <v>40</v>
      </c>
      <c r="C36" s="116">
        <f t="shared" si="5"/>
        <v>9</v>
      </c>
      <c r="D36" s="116">
        <f t="shared" si="5"/>
        <v>17</v>
      </c>
      <c r="E36" s="122">
        <f t="shared" si="23"/>
        <v>8</v>
      </c>
      <c r="F36" s="129">
        <f t="shared" si="24"/>
        <v>1.8888888888888888</v>
      </c>
      <c r="G36" s="116">
        <f t="shared" ref="G36:H36" si="47">IF(G77+G118+G159+G200+G241+G282+G323=0,"",G77+G118+G159+G200+G241+G282+G323)</f>
        <v>9</v>
      </c>
      <c r="H36" s="116">
        <f t="shared" si="47"/>
        <v>17</v>
      </c>
      <c r="I36" s="122">
        <f t="shared" si="38"/>
        <v>8</v>
      </c>
      <c r="J36" s="129">
        <f t="shared" si="40"/>
        <v>1.8888888888888888</v>
      </c>
    </row>
    <row r="37" spans="1:66" ht="23.1" customHeight="1">
      <c r="A37" s="105">
        <v>31</v>
      </c>
      <c r="B37" s="130" t="s">
        <v>41</v>
      </c>
      <c r="C37" s="116">
        <f t="shared" si="5"/>
        <v>4</v>
      </c>
      <c r="D37" s="116">
        <f t="shared" si="5"/>
        <v>9</v>
      </c>
      <c r="E37" s="122">
        <f t="shared" ref="E37:E41" si="48">IF(AND(C37=0,D37=0),"",IFERROR(IF(OR(D37=0,D37=""),-C37,D37-C37),""))</f>
        <v>5</v>
      </c>
      <c r="F37" s="129">
        <f t="shared" ref="F37:F41" si="49">IF(AND(D37=0,C37=0),"",IFERROR(IF(C37=0, D37, D37/C37),""))</f>
        <v>2.25</v>
      </c>
      <c r="G37" s="116">
        <f t="shared" ref="G37:H37" si="50">IF(G78+G119+G160+G201+G242+G283+G324=0,"",G78+G119+G160+G201+G242+G283+G324)</f>
        <v>4</v>
      </c>
      <c r="H37" s="116">
        <f t="shared" si="50"/>
        <v>9</v>
      </c>
      <c r="I37" s="122">
        <f t="shared" si="38"/>
        <v>5</v>
      </c>
      <c r="J37" s="129">
        <f t="shared" si="40"/>
        <v>2.25</v>
      </c>
    </row>
    <row r="38" spans="1:66" ht="23.1" customHeight="1">
      <c r="A38" s="105">
        <v>32</v>
      </c>
      <c r="B38" s="130" t="s">
        <v>39</v>
      </c>
      <c r="C38" s="116">
        <f t="shared" si="5"/>
        <v>3</v>
      </c>
      <c r="D38" s="116">
        <f t="shared" si="5"/>
        <v>3</v>
      </c>
      <c r="E38" s="122">
        <f t="shared" si="48"/>
        <v>0</v>
      </c>
      <c r="F38" s="129">
        <f t="shared" si="49"/>
        <v>1</v>
      </c>
      <c r="G38" s="116">
        <f t="shared" ref="G38:H38" si="51">IF(G79+G120+G161+G202+G243+G284+G325=0,"",G79+G120+G161+G202+G243+G284+G325)</f>
        <v>3</v>
      </c>
      <c r="H38" s="116">
        <f t="shared" si="51"/>
        <v>3</v>
      </c>
      <c r="I38" s="122">
        <f t="shared" si="38"/>
        <v>0</v>
      </c>
      <c r="J38" s="129">
        <f t="shared" si="40"/>
        <v>1</v>
      </c>
    </row>
    <row r="39" spans="1:66" ht="23.1" customHeight="1">
      <c r="A39" s="105">
        <v>33</v>
      </c>
      <c r="B39" s="130" t="s">
        <v>44</v>
      </c>
      <c r="C39" s="116">
        <f t="shared" si="5"/>
        <v>5078354.3</v>
      </c>
      <c r="D39" s="116">
        <f t="shared" si="5"/>
        <v>5248116.3</v>
      </c>
      <c r="E39" s="122">
        <f t="shared" si="48"/>
        <v>169762</v>
      </c>
      <c r="F39" s="129">
        <f t="shared" si="49"/>
        <v>1.0334285459366237</v>
      </c>
      <c r="G39" s="116">
        <f t="shared" ref="G39:H39" si="52">IF(G80+G121+G162+G203+G244+G285+G326=0,"",G80+G121+G162+G203+G244+G285+G326)</f>
        <v>5078354.3</v>
      </c>
      <c r="H39" s="116">
        <f t="shared" si="52"/>
        <v>3222016.0999999996</v>
      </c>
      <c r="I39" s="122">
        <f t="shared" si="38"/>
        <v>-1856338.2000000002</v>
      </c>
      <c r="J39" s="129">
        <f t="shared" si="40"/>
        <v>0.63446067557751917</v>
      </c>
    </row>
    <row r="40" spans="1:66" ht="23.1" customHeight="1">
      <c r="A40" s="105">
        <v>34</v>
      </c>
      <c r="B40" s="130" t="s">
        <v>45</v>
      </c>
      <c r="C40" s="116">
        <f t="shared" si="5"/>
        <v>4943347.2</v>
      </c>
      <c r="D40" s="116">
        <f t="shared" si="5"/>
        <v>4124588.1</v>
      </c>
      <c r="E40" s="122">
        <f t="shared" si="48"/>
        <v>-818759.10000000009</v>
      </c>
      <c r="F40" s="129">
        <f t="shared" si="49"/>
        <v>0.83437151653033792</v>
      </c>
      <c r="G40" s="116">
        <f t="shared" ref="G40:H40" si="53">IF(G81+G122+G163+G204+G245+G286+G327=0,"",G81+G122+G163+G204+G245+G286+G327)</f>
        <v>4943347.2</v>
      </c>
      <c r="H40" s="116">
        <f t="shared" si="53"/>
        <v>2745578.2</v>
      </c>
      <c r="I40" s="122">
        <f t="shared" si="38"/>
        <v>-2197769</v>
      </c>
      <c r="J40" s="129">
        <f t="shared" si="40"/>
        <v>0.55540873196201956</v>
      </c>
    </row>
    <row r="41" spans="1:66" ht="23.1" customHeight="1">
      <c r="A41" s="105">
        <v>35</v>
      </c>
      <c r="B41" s="130" t="s">
        <v>46</v>
      </c>
      <c r="C41" s="116" t="str">
        <f t="shared" si="5"/>
        <v/>
      </c>
      <c r="D41" s="116" t="str">
        <f t="shared" si="5"/>
        <v/>
      </c>
      <c r="E41" s="122" t="str">
        <f t="shared" si="48"/>
        <v/>
      </c>
      <c r="F41" s="129" t="str">
        <f t="shared" si="49"/>
        <v/>
      </c>
      <c r="G41" s="116" t="str">
        <f t="shared" ref="G41:H41" si="54">IF(G82+G123+G164+G205+G246+G287+G328=0,"",G82+G123+G164+G205+G246+G287+G328)</f>
        <v/>
      </c>
      <c r="H41" s="116" t="str">
        <f t="shared" si="54"/>
        <v/>
      </c>
      <c r="I41" s="122" t="str">
        <f t="shared" si="38"/>
        <v/>
      </c>
      <c r="J41" s="129" t="str">
        <f t="shared" si="40"/>
        <v/>
      </c>
    </row>
    <row r="42" spans="1:66" ht="23.1" customHeight="1"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</row>
    <row r="43" spans="1:66" ht="15" customHeight="1">
      <c r="A43" s="140" t="s">
        <v>243</v>
      </c>
      <c r="B43" s="140"/>
      <c r="C43" s="140"/>
      <c r="D43" s="140"/>
      <c r="E43" s="140"/>
      <c r="F43" s="140"/>
      <c r="G43" s="140"/>
      <c r="H43" s="140"/>
      <c r="I43" s="140"/>
      <c r="J43" s="140"/>
    </row>
    <row r="44" spans="1:66" ht="15" customHeight="1">
      <c r="A44" s="139"/>
      <c r="B44" s="139"/>
      <c r="C44" s="139"/>
      <c r="D44" s="139"/>
      <c r="E44" s="139"/>
      <c r="F44" s="139"/>
      <c r="G44" s="139"/>
      <c r="H44" s="139"/>
      <c r="I44" s="139"/>
      <c r="J44" s="139"/>
    </row>
    <row r="45" spans="1:66" ht="50.1" customHeight="1">
      <c r="A45" s="19"/>
      <c r="B45" s="67" t="s">
        <v>30</v>
      </c>
      <c r="C45" s="67" t="str">
        <f>"Факт " &amp;$J2  &amp; " 2023 г"</f>
        <v>Факт Сентябрь 2023 г</v>
      </c>
      <c r="D45" s="67" t="str">
        <f xml:space="preserve"> "Факт " &amp;$J2 &amp; " 2024 г"</f>
        <v>Факт Сентябрь 2024 г</v>
      </c>
      <c r="E45" s="147" t="s">
        <v>252</v>
      </c>
      <c r="F45" s="148"/>
      <c r="G45" s="67" t="str">
        <f xml:space="preserve"> "Факт Январь -" &amp;$J2&amp; " 2023 г"</f>
        <v>Факт Январь -Сентябрь 2023 г</v>
      </c>
      <c r="H45" s="67" t="str">
        <f xml:space="preserve"> "Факт Январь -" &amp;$J2&amp; " 2024 г"</f>
        <v>Факт Январь -Сентябрь 2024 г</v>
      </c>
      <c r="I45" s="147" t="s">
        <v>252</v>
      </c>
      <c r="J45" s="148"/>
    </row>
    <row r="46" spans="1:66" ht="57.75" customHeight="1">
      <c r="A46" s="30"/>
      <c r="B46" s="30"/>
      <c r="E46" s="28" t="s">
        <v>3</v>
      </c>
      <c r="F46" s="12" t="s">
        <v>4</v>
      </c>
      <c r="G46" s="30"/>
      <c r="H46" s="30"/>
      <c r="I46" s="28" t="s">
        <v>3</v>
      </c>
      <c r="J46" s="12" t="s">
        <v>4</v>
      </c>
    </row>
    <row r="47" spans="1:66" ht="20.25" customHeight="1">
      <c r="A47" s="18" t="s">
        <v>1</v>
      </c>
      <c r="B47" s="12" t="s">
        <v>12</v>
      </c>
      <c r="C47" s="12">
        <v>1</v>
      </c>
      <c r="D47" s="12">
        <v>2</v>
      </c>
      <c r="E47" s="12">
        <v>3</v>
      </c>
      <c r="F47" s="12">
        <v>4</v>
      </c>
      <c r="G47" s="12">
        <v>5</v>
      </c>
      <c r="H47" s="12">
        <v>6</v>
      </c>
      <c r="I47" s="12">
        <v>7</v>
      </c>
      <c r="J47" s="12">
        <v>8</v>
      </c>
    </row>
    <row r="48" spans="1:66" ht="23.1" customHeight="1">
      <c r="A48" s="17">
        <v>1</v>
      </c>
      <c r="B48" s="23" t="s">
        <v>278</v>
      </c>
      <c r="C48" s="41"/>
      <c r="D48" s="40"/>
      <c r="E48" s="19" t="str">
        <f t="shared" ref="E48:E82" si="55">IF(AND(C48=0,D48=0),"",IFERROR(IF(OR(D48=0,D48=""),-C48,D48-C48),""))</f>
        <v/>
      </c>
      <c r="F48" s="42" t="str">
        <f t="shared" ref="F48:F82" si="56">IF(AND(D48=0,C48=0),"",IFERROR(IF(C48=0, D48, D48/C48),""))</f>
        <v/>
      </c>
      <c r="G48" s="40"/>
      <c r="H48" s="40"/>
      <c r="I48" s="19" t="str">
        <f t="shared" ref="I48:I82" si="57">IF(AND(G48=0,H48=0),"",IFERROR(IF(OR(H48=0,H48=""),-G48,H48-G48),""))</f>
        <v/>
      </c>
      <c r="J48" s="42" t="str">
        <f t="shared" ref="J48:J82" si="58">IF(AND(H48=0,G48=0),"",IFERROR(IF(G48=0, H48, H48/G48),""))</f>
        <v/>
      </c>
    </row>
    <row r="49" spans="1:10" ht="23.1" customHeight="1">
      <c r="A49" s="17">
        <v>2</v>
      </c>
      <c r="B49" s="24" t="s">
        <v>32</v>
      </c>
      <c r="C49" s="40">
        <v>6</v>
      </c>
      <c r="D49" s="40">
        <v>9</v>
      </c>
      <c r="E49" s="19">
        <f t="shared" si="55"/>
        <v>3</v>
      </c>
      <c r="F49" s="42">
        <f t="shared" si="56"/>
        <v>1.5</v>
      </c>
      <c r="G49" s="40">
        <v>6</v>
      </c>
      <c r="H49" s="40">
        <v>9</v>
      </c>
      <c r="I49" s="19">
        <f t="shared" si="57"/>
        <v>3</v>
      </c>
      <c r="J49" s="42">
        <f t="shared" si="58"/>
        <v>1.5</v>
      </c>
    </row>
    <row r="50" spans="1:10" ht="23.1" customHeight="1">
      <c r="A50" s="17">
        <v>3</v>
      </c>
      <c r="B50" s="24" t="s">
        <v>162</v>
      </c>
      <c r="C50" s="40">
        <v>5</v>
      </c>
      <c r="D50" s="40">
        <v>8</v>
      </c>
      <c r="E50" s="19">
        <f t="shared" si="55"/>
        <v>3</v>
      </c>
      <c r="F50" s="42">
        <f t="shared" si="56"/>
        <v>1.6</v>
      </c>
      <c r="G50" s="40">
        <v>5</v>
      </c>
      <c r="H50" s="40">
        <v>8</v>
      </c>
      <c r="I50" s="19">
        <f t="shared" si="57"/>
        <v>3</v>
      </c>
      <c r="J50" s="42">
        <f t="shared" si="58"/>
        <v>1.6</v>
      </c>
    </row>
    <row r="51" spans="1:10" ht="23.1" customHeight="1">
      <c r="A51" s="17">
        <v>4</v>
      </c>
      <c r="B51" s="24" t="s">
        <v>163</v>
      </c>
      <c r="C51" s="40">
        <v>2</v>
      </c>
      <c r="D51" s="40">
        <v>1</v>
      </c>
      <c r="E51" s="19">
        <f t="shared" si="55"/>
        <v>-1</v>
      </c>
      <c r="F51" s="42">
        <f t="shared" si="56"/>
        <v>0.5</v>
      </c>
      <c r="G51" s="40">
        <v>2</v>
      </c>
      <c r="H51" s="40">
        <v>1</v>
      </c>
      <c r="I51" s="19">
        <f t="shared" si="57"/>
        <v>-1</v>
      </c>
      <c r="J51" s="42">
        <f t="shared" si="58"/>
        <v>0.5</v>
      </c>
    </row>
    <row r="52" spans="1:10" ht="23.1" customHeight="1">
      <c r="A52" s="17">
        <v>5</v>
      </c>
      <c r="B52" s="24" t="s">
        <v>164</v>
      </c>
      <c r="C52" s="40">
        <v>0</v>
      </c>
      <c r="D52" s="40">
        <v>0</v>
      </c>
      <c r="E52" s="19" t="str">
        <f t="shared" si="55"/>
        <v/>
      </c>
      <c r="F52" s="42" t="str">
        <f t="shared" si="56"/>
        <v/>
      </c>
      <c r="G52" s="40">
        <v>0</v>
      </c>
      <c r="H52" s="40">
        <v>0</v>
      </c>
      <c r="I52" s="19" t="str">
        <f t="shared" si="57"/>
        <v/>
      </c>
      <c r="J52" s="42" t="str">
        <f t="shared" si="58"/>
        <v/>
      </c>
    </row>
    <row r="53" spans="1:10" ht="23.1" customHeight="1">
      <c r="A53" s="17">
        <v>6</v>
      </c>
      <c r="B53" s="46" t="s">
        <v>165</v>
      </c>
      <c r="C53" s="40">
        <v>0</v>
      </c>
      <c r="D53" s="40">
        <v>1</v>
      </c>
      <c r="E53" s="19">
        <f t="shared" si="55"/>
        <v>1</v>
      </c>
      <c r="F53" s="42">
        <f t="shared" si="56"/>
        <v>1</v>
      </c>
      <c r="G53" s="40">
        <v>0</v>
      </c>
      <c r="H53" s="40">
        <v>1</v>
      </c>
      <c r="I53" s="19">
        <f t="shared" si="57"/>
        <v>1</v>
      </c>
      <c r="J53" s="42">
        <f t="shared" si="58"/>
        <v>1</v>
      </c>
    </row>
    <row r="54" spans="1:10" ht="23.1" customHeight="1">
      <c r="A54" s="100">
        <v>7</v>
      </c>
      <c r="B54" s="101" t="s">
        <v>33</v>
      </c>
      <c r="C54" s="103">
        <v>0</v>
      </c>
      <c r="D54" s="103">
        <v>0</v>
      </c>
      <c r="E54" s="19" t="str">
        <f t="shared" si="55"/>
        <v/>
      </c>
      <c r="F54" s="42" t="str">
        <f t="shared" si="56"/>
        <v/>
      </c>
      <c r="G54" s="103">
        <v>0</v>
      </c>
      <c r="H54" s="103">
        <v>0</v>
      </c>
      <c r="I54" s="19" t="str">
        <f t="shared" si="57"/>
        <v/>
      </c>
      <c r="J54" s="42" t="str">
        <f t="shared" si="58"/>
        <v/>
      </c>
    </row>
    <row r="55" spans="1:10" ht="23.1" customHeight="1">
      <c r="A55" s="100">
        <v>8</v>
      </c>
      <c r="B55" s="101" t="s">
        <v>141</v>
      </c>
      <c r="C55" s="103">
        <v>5</v>
      </c>
      <c r="D55" s="103">
        <v>3</v>
      </c>
      <c r="E55" s="19">
        <f t="shared" si="55"/>
        <v>-2</v>
      </c>
      <c r="F55" s="42">
        <f t="shared" si="56"/>
        <v>0.6</v>
      </c>
      <c r="G55" s="103">
        <v>5</v>
      </c>
      <c r="H55" s="103">
        <v>3</v>
      </c>
      <c r="I55" s="19">
        <f t="shared" si="57"/>
        <v>-2</v>
      </c>
      <c r="J55" s="42">
        <f t="shared" si="58"/>
        <v>0.6</v>
      </c>
    </row>
    <row r="56" spans="1:10" ht="23.1" customHeight="1">
      <c r="A56" s="100">
        <v>9</v>
      </c>
      <c r="B56" s="101" t="s">
        <v>37</v>
      </c>
      <c r="C56" s="103">
        <v>19</v>
      </c>
      <c r="D56" s="103">
        <v>16</v>
      </c>
      <c r="E56" s="19">
        <f t="shared" si="55"/>
        <v>-3</v>
      </c>
      <c r="F56" s="42">
        <f t="shared" si="56"/>
        <v>0.84210526315789469</v>
      </c>
      <c r="G56" s="103">
        <v>19</v>
      </c>
      <c r="H56" s="103">
        <v>16</v>
      </c>
      <c r="I56" s="19">
        <f t="shared" si="57"/>
        <v>-3</v>
      </c>
      <c r="J56" s="42">
        <f t="shared" si="58"/>
        <v>0.84210526315789469</v>
      </c>
    </row>
    <row r="57" spans="1:10" ht="23.1" customHeight="1">
      <c r="A57" s="100">
        <v>10</v>
      </c>
      <c r="B57" s="101" t="s">
        <v>38</v>
      </c>
      <c r="C57" s="103">
        <v>0</v>
      </c>
      <c r="D57" s="103">
        <v>0</v>
      </c>
      <c r="E57" s="19" t="str">
        <f t="shared" si="55"/>
        <v/>
      </c>
      <c r="F57" s="42" t="str">
        <f t="shared" si="56"/>
        <v/>
      </c>
      <c r="G57" s="103">
        <v>0</v>
      </c>
      <c r="H57" s="103">
        <v>0</v>
      </c>
      <c r="I57" s="19" t="str">
        <f t="shared" si="57"/>
        <v/>
      </c>
      <c r="J57" s="42" t="str">
        <f t="shared" si="58"/>
        <v/>
      </c>
    </row>
    <row r="58" spans="1:10" ht="23.1" customHeight="1">
      <c r="A58" s="100">
        <v>11</v>
      </c>
      <c r="B58" s="101" t="s">
        <v>142</v>
      </c>
      <c r="C58" s="103">
        <v>37322.25</v>
      </c>
      <c r="D58" s="103">
        <v>31611</v>
      </c>
      <c r="E58" s="19">
        <f t="shared" si="55"/>
        <v>-5711.25</v>
      </c>
      <c r="F58" s="42">
        <f t="shared" si="56"/>
        <v>0.84697465988786846</v>
      </c>
      <c r="G58" s="103">
        <v>37322.25</v>
      </c>
      <c r="H58" s="103">
        <v>31611</v>
      </c>
      <c r="I58" s="19">
        <f t="shared" si="57"/>
        <v>-5711.25</v>
      </c>
      <c r="J58" s="42">
        <f t="shared" si="58"/>
        <v>0.84697465988786846</v>
      </c>
    </row>
    <row r="59" spans="1:10" ht="23.1" customHeight="1">
      <c r="A59" s="100">
        <v>12</v>
      </c>
      <c r="B59" s="101" t="s">
        <v>39</v>
      </c>
      <c r="C59" s="103">
        <v>1</v>
      </c>
      <c r="D59" s="103">
        <v>1</v>
      </c>
      <c r="E59" s="19">
        <f t="shared" si="55"/>
        <v>0</v>
      </c>
      <c r="F59" s="42">
        <f t="shared" si="56"/>
        <v>1</v>
      </c>
      <c r="G59" s="103">
        <v>1</v>
      </c>
      <c r="H59" s="103">
        <v>1</v>
      </c>
      <c r="I59" s="19">
        <f t="shared" si="57"/>
        <v>0</v>
      </c>
      <c r="J59" s="42">
        <f t="shared" si="58"/>
        <v>1</v>
      </c>
    </row>
    <row r="60" spans="1:10" ht="23.1" customHeight="1">
      <c r="A60" s="100">
        <v>13</v>
      </c>
      <c r="B60" s="101" t="s">
        <v>142</v>
      </c>
      <c r="C60" s="103">
        <v>335.2</v>
      </c>
      <c r="D60" s="103">
        <v>335.2</v>
      </c>
      <c r="E60" s="19">
        <f t="shared" si="55"/>
        <v>0</v>
      </c>
      <c r="F60" s="42">
        <f t="shared" si="56"/>
        <v>1</v>
      </c>
      <c r="G60" s="103">
        <v>335.2</v>
      </c>
      <c r="H60" s="103">
        <v>335.2</v>
      </c>
      <c r="I60" s="19">
        <f t="shared" si="57"/>
        <v>0</v>
      </c>
      <c r="J60" s="42">
        <f t="shared" si="58"/>
        <v>1</v>
      </c>
    </row>
    <row r="61" spans="1:10" ht="23.1" customHeight="1">
      <c r="A61" s="100">
        <v>14</v>
      </c>
      <c r="B61" s="101" t="s">
        <v>40</v>
      </c>
      <c r="C61" s="103">
        <v>2</v>
      </c>
      <c r="D61" s="103">
        <v>2</v>
      </c>
      <c r="E61" s="19">
        <f t="shared" si="55"/>
        <v>0</v>
      </c>
      <c r="F61" s="42">
        <f t="shared" si="56"/>
        <v>1</v>
      </c>
      <c r="G61" s="103">
        <v>2</v>
      </c>
      <c r="H61" s="103">
        <v>2</v>
      </c>
      <c r="I61" s="19">
        <f t="shared" si="57"/>
        <v>0</v>
      </c>
      <c r="J61" s="42">
        <f t="shared" si="58"/>
        <v>1</v>
      </c>
    </row>
    <row r="62" spans="1:10" ht="23.1" customHeight="1">
      <c r="A62" s="100">
        <v>15</v>
      </c>
      <c r="B62" s="101" t="s">
        <v>142</v>
      </c>
      <c r="C62" s="103">
        <v>3085.9</v>
      </c>
      <c r="D62" s="103">
        <v>3085.9</v>
      </c>
      <c r="E62" s="19">
        <f t="shared" si="55"/>
        <v>0</v>
      </c>
      <c r="F62" s="42">
        <f t="shared" si="56"/>
        <v>1</v>
      </c>
      <c r="G62" s="103">
        <v>3085.9</v>
      </c>
      <c r="H62" s="103">
        <v>3085.9</v>
      </c>
      <c r="I62" s="19">
        <f t="shared" si="57"/>
        <v>0</v>
      </c>
      <c r="J62" s="42">
        <f t="shared" si="58"/>
        <v>1</v>
      </c>
    </row>
    <row r="63" spans="1:10" ht="23.1" customHeight="1">
      <c r="A63" s="100">
        <v>16</v>
      </c>
      <c r="B63" s="101" t="s">
        <v>143</v>
      </c>
      <c r="C63" s="103">
        <v>1</v>
      </c>
      <c r="D63" s="103">
        <v>0</v>
      </c>
      <c r="E63" s="19">
        <f t="shared" si="55"/>
        <v>-1</v>
      </c>
      <c r="F63" s="42">
        <f t="shared" si="56"/>
        <v>0</v>
      </c>
      <c r="G63" s="103">
        <v>1</v>
      </c>
      <c r="H63" s="103">
        <v>0</v>
      </c>
      <c r="I63" s="19">
        <f t="shared" si="57"/>
        <v>-1</v>
      </c>
      <c r="J63" s="42">
        <f t="shared" si="58"/>
        <v>0</v>
      </c>
    </row>
    <row r="64" spans="1:10" ht="23.1" customHeight="1">
      <c r="A64" s="100">
        <v>17</v>
      </c>
      <c r="B64" s="102" t="s">
        <v>142</v>
      </c>
      <c r="C64" s="103">
        <v>215.03</v>
      </c>
      <c r="D64" s="103">
        <v>0</v>
      </c>
      <c r="E64" s="19">
        <f t="shared" si="55"/>
        <v>-215.03</v>
      </c>
      <c r="F64" s="42">
        <f t="shared" si="56"/>
        <v>0</v>
      </c>
      <c r="G64" s="103">
        <v>215.03</v>
      </c>
      <c r="H64" s="103">
        <v>0</v>
      </c>
      <c r="I64" s="19">
        <f t="shared" si="57"/>
        <v>-215.03</v>
      </c>
      <c r="J64" s="42">
        <f t="shared" si="58"/>
        <v>0</v>
      </c>
    </row>
    <row r="65" spans="1:10" ht="23.1" customHeight="1">
      <c r="A65" s="100">
        <v>18</v>
      </c>
      <c r="B65" s="102" t="s">
        <v>42</v>
      </c>
      <c r="C65" s="103">
        <v>1</v>
      </c>
      <c r="D65" s="103">
        <v>3</v>
      </c>
      <c r="E65" s="19">
        <f t="shared" si="55"/>
        <v>2</v>
      </c>
      <c r="F65" s="42">
        <f t="shared" si="56"/>
        <v>3</v>
      </c>
      <c r="G65" s="103">
        <v>1</v>
      </c>
      <c r="H65" s="103">
        <v>3</v>
      </c>
      <c r="I65" s="19">
        <f t="shared" si="57"/>
        <v>2</v>
      </c>
      <c r="J65" s="42">
        <f t="shared" si="58"/>
        <v>3</v>
      </c>
    </row>
    <row r="66" spans="1:10" ht="23.1" customHeight="1">
      <c r="A66" s="100">
        <v>19</v>
      </c>
      <c r="B66" s="102" t="s">
        <v>142</v>
      </c>
      <c r="C66" s="103">
        <v>96.7</v>
      </c>
      <c r="D66" s="103">
        <v>473.8</v>
      </c>
      <c r="E66" s="19">
        <f t="shared" si="55"/>
        <v>377.1</v>
      </c>
      <c r="F66" s="42">
        <f t="shared" si="56"/>
        <v>4.8996897621509827</v>
      </c>
      <c r="G66" s="103">
        <v>96.7</v>
      </c>
      <c r="H66" s="103">
        <v>473.8</v>
      </c>
      <c r="I66" s="19">
        <f t="shared" si="57"/>
        <v>377.1</v>
      </c>
      <c r="J66" s="42">
        <f t="shared" si="58"/>
        <v>4.8996897621509827</v>
      </c>
    </row>
    <row r="67" spans="1:10" ht="23.1" customHeight="1">
      <c r="A67" s="17">
        <v>20</v>
      </c>
      <c r="B67" s="101" t="s">
        <v>302</v>
      </c>
      <c r="C67" s="40">
        <v>0</v>
      </c>
      <c r="D67" s="40">
        <v>0</v>
      </c>
      <c r="E67" s="19" t="str">
        <f t="shared" si="55"/>
        <v/>
      </c>
      <c r="F67" s="42" t="str">
        <f t="shared" si="56"/>
        <v/>
      </c>
      <c r="G67" s="40">
        <v>0</v>
      </c>
      <c r="H67" s="40">
        <v>0</v>
      </c>
      <c r="I67" s="19" t="str">
        <f t="shared" si="57"/>
        <v/>
      </c>
      <c r="J67" s="42" t="str">
        <f t="shared" si="58"/>
        <v/>
      </c>
    </row>
    <row r="68" spans="1:10" ht="23.1" customHeight="1">
      <c r="A68" s="17">
        <v>21</v>
      </c>
      <c r="B68" s="102" t="s">
        <v>142</v>
      </c>
      <c r="C68" s="40">
        <v>0</v>
      </c>
      <c r="D68" s="40">
        <v>0</v>
      </c>
      <c r="E68" s="19" t="str">
        <f t="shared" si="55"/>
        <v/>
      </c>
      <c r="F68" s="42" t="str">
        <f t="shared" si="56"/>
        <v/>
      </c>
      <c r="G68" s="40">
        <v>0</v>
      </c>
      <c r="H68" s="40">
        <v>0</v>
      </c>
      <c r="I68" s="19" t="str">
        <f t="shared" si="57"/>
        <v/>
      </c>
      <c r="J68" s="42" t="str">
        <f t="shared" si="58"/>
        <v/>
      </c>
    </row>
    <row r="69" spans="1:10" ht="23.1" customHeight="1">
      <c r="A69" s="17">
        <v>22</v>
      </c>
      <c r="B69" s="24" t="s">
        <v>39</v>
      </c>
      <c r="C69" s="40">
        <v>0</v>
      </c>
      <c r="D69" s="40">
        <v>0</v>
      </c>
      <c r="E69" s="19" t="str">
        <f t="shared" si="55"/>
        <v/>
      </c>
      <c r="F69" s="42" t="str">
        <f t="shared" si="56"/>
        <v/>
      </c>
      <c r="G69" s="40">
        <v>0</v>
      </c>
      <c r="H69" s="40">
        <v>0</v>
      </c>
      <c r="I69" s="19" t="str">
        <f t="shared" si="57"/>
        <v/>
      </c>
      <c r="J69" s="42" t="str">
        <f t="shared" si="58"/>
        <v/>
      </c>
    </row>
    <row r="70" spans="1:10" ht="23.1" customHeight="1">
      <c r="A70" s="17">
        <v>23</v>
      </c>
      <c r="B70" s="24" t="s">
        <v>40</v>
      </c>
      <c r="C70" s="40">
        <v>0</v>
      </c>
      <c r="D70" s="40">
        <v>0</v>
      </c>
      <c r="E70" s="19" t="str">
        <f t="shared" si="55"/>
        <v/>
      </c>
      <c r="F70" s="42" t="str">
        <f t="shared" si="56"/>
        <v/>
      </c>
      <c r="G70" s="40">
        <v>0</v>
      </c>
      <c r="H70" s="40">
        <v>0</v>
      </c>
      <c r="I70" s="19" t="str">
        <f t="shared" si="57"/>
        <v/>
      </c>
      <c r="J70" s="42" t="str">
        <f t="shared" si="58"/>
        <v/>
      </c>
    </row>
    <row r="71" spans="1:10" ht="23.1" customHeight="1">
      <c r="A71" s="17">
        <v>24</v>
      </c>
      <c r="B71" s="24" t="s">
        <v>143</v>
      </c>
      <c r="C71" s="40">
        <v>0</v>
      </c>
      <c r="D71" s="40">
        <v>0</v>
      </c>
      <c r="E71" s="19" t="str">
        <f t="shared" si="55"/>
        <v/>
      </c>
      <c r="F71" s="42" t="str">
        <f t="shared" si="56"/>
        <v/>
      </c>
      <c r="G71" s="40">
        <v>0</v>
      </c>
      <c r="H71" s="40">
        <v>0</v>
      </c>
      <c r="I71" s="19" t="str">
        <f t="shared" si="57"/>
        <v/>
      </c>
      <c r="J71" s="42" t="str">
        <f t="shared" si="58"/>
        <v/>
      </c>
    </row>
    <row r="72" spans="1:10" ht="23.1" customHeight="1">
      <c r="A72" s="17">
        <v>25</v>
      </c>
      <c r="B72" s="24" t="s">
        <v>42</v>
      </c>
      <c r="C72" s="40">
        <v>0</v>
      </c>
      <c r="D72" s="40">
        <v>0</v>
      </c>
      <c r="E72" s="19" t="str">
        <f t="shared" si="55"/>
        <v/>
      </c>
      <c r="F72" s="42" t="str">
        <f t="shared" si="56"/>
        <v/>
      </c>
      <c r="G72" s="40">
        <v>0</v>
      </c>
      <c r="H72" s="40">
        <v>0</v>
      </c>
      <c r="I72" s="19" t="str">
        <f t="shared" si="57"/>
        <v/>
      </c>
      <c r="J72" s="42" t="str">
        <f t="shared" si="58"/>
        <v/>
      </c>
    </row>
    <row r="73" spans="1:10" ht="23.1" customHeight="1">
      <c r="A73" s="17">
        <v>26</v>
      </c>
      <c r="B73" s="24" t="s">
        <v>43</v>
      </c>
      <c r="C73" s="40">
        <v>0</v>
      </c>
      <c r="D73" s="40">
        <v>0</v>
      </c>
      <c r="E73" s="19" t="str">
        <f t="shared" si="55"/>
        <v/>
      </c>
      <c r="F73" s="42" t="str">
        <f t="shared" si="56"/>
        <v/>
      </c>
      <c r="G73" s="40">
        <v>0</v>
      </c>
      <c r="H73" s="40">
        <v>0</v>
      </c>
      <c r="I73" s="19" t="str">
        <f t="shared" si="57"/>
        <v/>
      </c>
      <c r="J73" s="42" t="str">
        <f t="shared" si="58"/>
        <v/>
      </c>
    </row>
    <row r="74" spans="1:10" ht="23.1" customHeight="1">
      <c r="A74" s="17">
        <v>27</v>
      </c>
      <c r="B74" s="23" t="s">
        <v>166</v>
      </c>
      <c r="C74" s="40">
        <v>21</v>
      </c>
      <c r="D74" s="40">
        <v>19</v>
      </c>
      <c r="E74" s="19">
        <f t="shared" si="55"/>
        <v>-2</v>
      </c>
      <c r="F74" s="42">
        <f t="shared" si="56"/>
        <v>0.90476190476190477</v>
      </c>
      <c r="G74" s="40">
        <v>21</v>
      </c>
      <c r="H74" s="40">
        <v>19</v>
      </c>
      <c r="I74" s="19">
        <f t="shared" si="57"/>
        <v>-2</v>
      </c>
      <c r="J74" s="42">
        <f t="shared" si="58"/>
        <v>0.90476190476190477</v>
      </c>
    </row>
    <row r="75" spans="1:10" ht="23.1" customHeight="1">
      <c r="A75" s="17">
        <v>28</v>
      </c>
      <c r="B75" s="24" t="s">
        <v>37</v>
      </c>
      <c r="C75" s="40">
        <v>19</v>
      </c>
      <c r="D75" s="40">
        <v>16</v>
      </c>
      <c r="E75" s="19">
        <f t="shared" si="55"/>
        <v>-3</v>
      </c>
      <c r="F75" s="42">
        <f t="shared" si="56"/>
        <v>0.84210526315789469</v>
      </c>
      <c r="G75" s="40">
        <v>19</v>
      </c>
      <c r="H75" s="40">
        <v>16</v>
      </c>
      <c r="I75" s="19">
        <f t="shared" si="57"/>
        <v>-3</v>
      </c>
      <c r="J75" s="42">
        <f t="shared" si="58"/>
        <v>0.84210526315789469</v>
      </c>
    </row>
    <row r="76" spans="1:10" ht="23.1" customHeight="1">
      <c r="A76" s="17">
        <v>29</v>
      </c>
      <c r="B76" s="24" t="s">
        <v>38</v>
      </c>
      <c r="C76" s="40">
        <v>0</v>
      </c>
      <c r="D76" s="40">
        <v>1</v>
      </c>
      <c r="E76" s="19">
        <f t="shared" si="55"/>
        <v>1</v>
      </c>
      <c r="F76" s="42">
        <f t="shared" si="56"/>
        <v>1</v>
      </c>
      <c r="G76" s="40">
        <v>0</v>
      </c>
      <c r="H76" s="40">
        <v>1</v>
      </c>
      <c r="I76" s="19">
        <f t="shared" si="57"/>
        <v>1</v>
      </c>
      <c r="J76" s="42">
        <f t="shared" si="58"/>
        <v>1</v>
      </c>
    </row>
    <row r="77" spans="1:10" ht="23.1" customHeight="1">
      <c r="A77" s="17">
        <v>30</v>
      </c>
      <c r="B77" s="24" t="s">
        <v>40</v>
      </c>
      <c r="C77" s="40">
        <v>2</v>
      </c>
      <c r="D77" s="40">
        <v>2</v>
      </c>
      <c r="E77" s="19">
        <f t="shared" si="55"/>
        <v>0</v>
      </c>
      <c r="F77" s="42">
        <f t="shared" si="56"/>
        <v>1</v>
      </c>
      <c r="G77" s="40">
        <v>2</v>
      </c>
      <c r="H77" s="40">
        <v>2</v>
      </c>
      <c r="I77" s="19">
        <f t="shared" si="57"/>
        <v>0</v>
      </c>
      <c r="J77" s="42">
        <f t="shared" si="58"/>
        <v>1</v>
      </c>
    </row>
    <row r="78" spans="1:10" ht="23.1" customHeight="1">
      <c r="A78" s="17">
        <v>31</v>
      </c>
      <c r="B78" s="24" t="s">
        <v>41</v>
      </c>
      <c r="C78" s="40">
        <v>0</v>
      </c>
      <c r="D78" s="40">
        <v>0</v>
      </c>
      <c r="E78" s="19" t="str">
        <f t="shared" si="55"/>
        <v/>
      </c>
      <c r="F78" s="42" t="str">
        <f t="shared" si="56"/>
        <v/>
      </c>
      <c r="G78" s="40">
        <v>0</v>
      </c>
      <c r="H78" s="40">
        <v>0</v>
      </c>
      <c r="I78" s="19" t="str">
        <f t="shared" si="57"/>
        <v/>
      </c>
      <c r="J78" s="42" t="str">
        <f t="shared" si="58"/>
        <v/>
      </c>
    </row>
    <row r="79" spans="1:10" ht="23.1" customHeight="1">
      <c r="A79" s="17">
        <v>32</v>
      </c>
      <c r="B79" s="24" t="s">
        <v>39</v>
      </c>
      <c r="C79" s="40">
        <v>0</v>
      </c>
      <c r="D79" s="40">
        <v>0</v>
      </c>
      <c r="E79" s="19" t="str">
        <f t="shared" si="55"/>
        <v/>
      </c>
      <c r="F79" s="42" t="str">
        <f t="shared" si="56"/>
        <v/>
      </c>
      <c r="G79" s="40">
        <v>0</v>
      </c>
      <c r="H79" s="40">
        <v>0</v>
      </c>
      <c r="I79" s="19" t="str">
        <f t="shared" si="57"/>
        <v/>
      </c>
      <c r="J79" s="42" t="str">
        <f t="shared" si="58"/>
        <v/>
      </c>
    </row>
    <row r="80" spans="1:10" ht="23.1" customHeight="1">
      <c r="A80" s="17">
        <v>33</v>
      </c>
      <c r="B80" s="24" t="s">
        <v>44</v>
      </c>
      <c r="C80" s="40">
        <v>755555.6</v>
      </c>
      <c r="D80" s="40">
        <v>579607.9</v>
      </c>
      <c r="E80" s="19">
        <f t="shared" si="55"/>
        <v>-175947.69999999995</v>
      </c>
      <c r="F80" s="42">
        <f t="shared" si="56"/>
        <v>0.76712805781599669</v>
      </c>
      <c r="G80" s="40">
        <v>755555.6</v>
      </c>
      <c r="H80" s="40">
        <v>425049.3</v>
      </c>
      <c r="I80" s="19">
        <f t="shared" si="57"/>
        <v>-330506.3</v>
      </c>
      <c r="J80" s="42">
        <f t="shared" si="58"/>
        <v>0.56256521690792838</v>
      </c>
    </row>
    <row r="81" spans="1:10" ht="23.1" customHeight="1">
      <c r="A81" s="17">
        <v>34</v>
      </c>
      <c r="B81" s="24" t="s">
        <v>45</v>
      </c>
      <c r="C81" s="40">
        <v>727690.1</v>
      </c>
      <c r="D81" s="40">
        <v>519256.6</v>
      </c>
      <c r="E81" s="19">
        <f t="shared" si="55"/>
        <v>-208433.5</v>
      </c>
      <c r="F81" s="42">
        <f t="shared" si="56"/>
        <v>0.71356831706244184</v>
      </c>
      <c r="G81" s="40">
        <v>727690.1</v>
      </c>
      <c r="H81" s="40">
        <v>407266.6</v>
      </c>
      <c r="I81" s="19">
        <f t="shared" si="57"/>
        <v>-320423.5</v>
      </c>
      <c r="J81" s="42">
        <f t="shared" si="58"/>
        <v>0.55967038716068829</v>
      </c>
    </row>
    <row r="82" spans="1:10" ht="23.1" customHeight="1">
      <c r="A82" s="17">
        <v>35</v>
      </c>
      <c r="B82" s="24" t="s">
        <v>46</v>
      </c>
      <c r="C82" s="40">
        <v>0</v>
      </c>
      <c r="D82" s="40">
        <v>0</v>
      </c>
      <c r="E82" s="19" t="str">
        <f t="shared" si="55"/>
        <v/>
      </c>
      <c r="F82" s="42" t="str">
        <f t="shared" si="56"/>
        <v/>
      </c>
      <c r="G82" s="40">
        <v>0</v>
      </c>
      <c r="H82" s="40">
        <v>0</v>
      </c>
      <c r="I82" s="19" t="str">
        <f t="shared" si="57"/>
        <v/>
      </c>
      <c r="J82" s="42" t="str">
        <f t="shared" si="58"/>
        <v/>
      </c>
    </row>
    <row r="83" spans="1:10" ht="23.1" customHeight="1"/>
    <row r="84" spans="1:10" ht="15" customHeight="1">
      <c r="A84" s="140" t="s">
        <v>244</v>
      </c>
      <c r="B84" s="140"/>
      <c r="C84" s="140"/>
      <c r="D84" s="140"/>
      <c r="E84" s="140"/>
      <c r="F84" s="140"/>
      <c r="G84" s="140"/>
      <c r="H84" s="140"/>
      <c r="I84" s="140"/>
      <c r="J84" s="140"/>
    </row>
    <row r="85" spans="1:10" ht="15" customHeight="1">
      <c r="A85" s="139"/>
      <c r="B85" s="139"/>
      <c r="C85" s="139"/>
      <c r="D85" s="139"/>
      <c r="E85" s="139"/>
      <c r="F85" s="139"/>
      <c r="G85" s="139"/>
      <c r="H85" s="139"/>
      <c r="I85" s="139"/>
      <c r="J85" s="139"/>
    </row>
    <row r="86" spans="1:10" ht="50.1" customHeight="1">
      <c r="A86" s="19"/>
      <c r="B86" s="67" t="s">
        <v>30</v>
      </c>
      <c r="C86" s="67" t="str">
        <f>"Факт " &amp;$J2  &amp; " 2023 г"</f>
        <v>Факт Сентябрь 2023 г</v>
      </c>
      <c r="D86" s="67" t="str">
        <f xml:space="preserve"> "Факт " &amp;$J2&amp; " 2024 г"</f>
        <v>Факт Сентябрь 2024 г</v>
      </c>
      <c r="E86" s="147" t="s">
        <v>252</v>
      </c>
      <c r="F86" s="148"/>
      <c r="G86" s="67" t="str">
        <f xml:space="preserve"> "Факт Январь -" &amp;$J2&amp; " 2023 г"</f>
        <v>Факт Январь -Сентябрь 2023 г</v>
      </c>
      <c r="H86" s="67" t="str">
        <f xml:space="preserve"> "Факт Январь -" &amp;$J2&amp; " 2024 г"</f>
        <v>Факт Январь -Сентябрь 2024 г</v>
      </c>
      <c r="I86" s="147" t="s">
        <v>252</v>
      </c>
      <c r="J86" s="148"/>
    </row>
    <row r="87" spans="1:10" ht="57.75" customHeight="1">
      <c r="A87" s="30"/>
      <c r="B87" s="30"/>
      <c r="E87" s="28" t="s">
        <v>3</v>
      </c>
      <c r="F87" s="12" t="s">
        <v>4</v>
      </c>
      <c r="G87" s="30"/>
      <c r="H87" s="30"/>
      <c r="I87" s="28" t="s">
        <v>3</v>
      </c>
      <c r="J87" s="12" t="s">
        <v>4</v>
      </c>
    </row>
    <row r="88" spans="1:10" ht="20.25" customHeight="1">
      <c r="A88" s="18" t="s">
        <v>1</v>
      </c>
      <c r="B88" s="12" t="s">
        <v>12</v>
      </c>
      <c r="C88" s="12">
        <v>1</v>
      </c>
      <c r="D88" s="12">
        <v>2</v>
      </c>
      <c r="E88" s="12">
        <v>3</v>
      </c>
      <c r="F88" s="12">
        <v>4</v>
      </c>
      <c r="G88" s="12">
        <v>5</v>
      </c>
      <c r="H88" s="12">
        <v>6</v>
      </c>
      <c r="I88" s="12">
        <v>7</v>
      </c>
      <c r="J88" s="12">
        <v>8</v>
      </c>
    </row>
    <row r="89" spans="1:10" ht="23.1" customHeight="1">
      <c r="A89" s="17">
        <v>1</v>
      </c>
      <c r="B89" s="23" t="s">
        <v>278</v>
      </c>
      <c r="C89" s="41"/>
      <c r="D89" s="40"/>
      <c r="E89" s="19" t="str">
        <f t="shared" ref="E89:E123" si="59">IF(AND(C89=0,D89=0),"",IFERROR(IF(OR(D89=0,D89=""),-C89,D89-C89),""))</f>
        <v/>
      </c>
      <c r="F89" s="42" t="str">
        <f t="shared" ref="F89:F123" si="60">IF(AND(D89=0,C89=0),"",IFERROR(IF(C89=0, D89, D89/C89),""))</f>
        <v/>
      </c>
      <c r="G89" s="40"/>
      <c r="H89" s="40"/>
      <c r="I89" s="19" t="str">
        <f t="shared" ref="I89:I123" si="61">IF(AND(G89=0,H89=0),"",IFERROR(IF(OR(H89=0,H89=""),-G89,H89-G89),""))</f>
        <v/>
      </c>
      <c r="J89" s="42" t="str">
        <f t="shared" ref="J89:J123" si="62">IF(AND(H89=0,G89=0),"",IFERROR(IF(G89=0, H89, H89/G89),""))</f>
        <v/>
      </c>
    </row>
    <row r="90" spans="1:10" ht="23.1" customHeight="1">
      <c r="A90" s="17">
        <v>2</v>
      </c>
      <c r="B90" s="24" t="s">
        <v>32</v>
      </c>
      <c r="C90" s="40">
        <v>7</v>
      </c>
      <c r="D90" s="40">
        <v>14</v>
      </c>
      <c r="E90" s="19">
        <f t="shared" si="59"/>
        <v>7</v>
      </c>
      <c r="F90" s="42">
        <f t="shared" si="60"/>
        <v>2</v>
      </c>
      <c r="G90" s="40">
        <v>7</v>
      </c>
      <c r="H90" s="40">
        <v>14</v>
      </c>
      <c r="I90" s="19">
        <f t="shared" si="61"/>
        <v>7</v>
      </c>
      <c r="J90" s="42">
        <f t="shared" si="62"/>
        <v>2</v>
      </c>
    </row>
    <row r="91" spans="1:10" ht="23.1" customHeight="1">
      <c r="A91" s="17">
        <v>3</v>
      </c>
      <c r="B91" s="24" t="s">
        <v>162</v>
      </c>
      <c r="C91" s="40">
        <v>26</v>
      </c>
      <c r="D91" s="40">
        <v>34</v>
      </c>
      <c r="E91" s="19">
        <f t="shared" si="59"/>
        <v>8</v>
      </c>
      <c r="F91" s="42">
        <f t="shared" si="60"/>
        <v>1.3076923076923077</v>
      </c>
      <c r="G91" s="40">
        <v>26</v>
      </c>
      <c r="H91" s="40">
        <v>34</v>
      </c>
      <c r="I91" s="19">
        <f t="shared" si="61"/>
        <v>8</v>
      </c>
      <c r="J91" s="42">
        <f t="shared" si="62"/>
        <v>1.3076923076923077</v>
      </c>
    </row>
    <row r="92" spans="1:10" ht="23.1" customHeight="1">
      <c r="A92" s="17">
        <v>4</v>
      </c>
      <c r="B92" s="24" t="s">
        <v>163</v>
      </c>
      <c r="C92" s="40">
        <v>8</v>
      </c>
      <c r="D92" s="40">
        <v>11</v>
      </c>
      <c r="E92" s="19">
        <f t="shared" si="59"/>
        <v>3</v>
      </c>
      <c r="F92" s="42">
        <f t="shared" si="60"/>
        <v>1.375</v>
      </c>
      <c r="G92" s="40">
        <v>8</v>
      </c>
      <c r="H92" s="40">
        <v>11</v>
      </c>
      <c r="I92" s="19">
        <f t="shared" si="61"/>
        <v>3</v>
      </c>
      <c r="J92" s="42">
        <f t="shared" si="62"/>
        <v>1.375</v>
      </c>
    </row>
    <row r="93" spans="1:10" ht="23.1" customHeight="1">
      <c r="A93" s="17">
        <v>5</v>
      </c>
      <c r="B93" s="24" t="s">
        <v>164</v>
      </c>
      <c r="C93" s="40">
        <v>0</v>
      </c>
      <c r="D93" s="40">
        <v>0</v>
      </c>
      <c r="E93" s="19" t="str">
        <f t="shared" si="59"/>
        <v/>
      </c>
      <c r="F93" s="42" t="str">
        <f t="shared" si="60"/>
        <v/>
      </c>
      <c r="G93" s="40">
        <v>0</v>
      </c>
      <c r="H93" s="40">
        <v>0</v>
      </c>
      <c r="I93" s="19" t="str">
        <f t="shared" si="61"/>
        <v/>
      </c>
      <c r="J93" s="42" t="str">
        <f t="shared" si="62"/>
        <v/>
      </c>
    </row>
    <row r="94" spans="1:10" ht="23.1" customHeight="1">
      <c r="A94" s="17">
        <v>6</v>
      </c>
      <c r="B94" s="46" t="s">
        <v>165</v>
      </c>
      <c r="C94" s="40">
        <v>12</v>
      </c>
      <c r="D94" s="40">
        <v>5</v>
      </c>
      <c r="E94" s="19">
        <f t="shared" si="59"/>
        <v>-7</v>
      </c>
      <c r="F94" s="42">
        <f t="shared" si="60"/>
        <v>0.41666666666666669</v>
      </c>
      <c r="G94" s="40">
        <v>12</v>
      </c>
      <c r="H94" s="40">
        <v>5</v>
      </c>
      <c r="I94" s="19">
        <f t="shared" si="61"/>
        <v>-7</v>
      </c>
      <c r="J94" s="42">
        <f t="shared" si="62"/>
        <v>0.41666666666666669</v>
      </c>
    </row>
    <row r="95" spans="1:10" ht="23.1" customHeight="1">
      <c r="A95" s="100">
        <v>7</v>
      </c>
      <c r="B95" s="101" t="s">
        <v>33</v>
      </c>
      <c r="C95" s="103">
        <v>0</v>
      </c>
      <c r="D95" s="103">
        <v>0</v>
      </c>
      <c r="E95" s="19" t="str">
        <f t="shared" si="59"/>
        <v/>
      </c>
      <c r="F95" s="42" t="str">
        <f t="shared" si="60"/>
        <v/>
      </c>
      <c r="G95" s="103">
        <v>0</v>
      </c>
      <c r="H95" s="103">
        <v>0</v>
      </c>
      <c r="I95" s="19" t="str">
        <f t="shared" si="61"/>
        <v/>
      </c>
      <c r="J95" s="42" t="str">
        <f t="shared" si="62"/>
        <v/>
      </c>
    </row>
    <row r="96" spans="1:10" ht="23.1" customHeight="1">
      <c r="A96" s="100">
        <v>8</v>
      </c>
      <c r="B96" s="101" t="s">
        <v>141</v>
      </c>
      <c r="C96" s="103">
        <v>13</v>
      </c>
      <c r="D96" s="103">
        <v>29</v>
      </c>
      <c r="E96" s="19">
        <f t="shared" si="59"/>
        <v>16</v>
      </c>
      <c r="F96" s="42">
        <f t="shared" si="60"/>
        <v>2.2307692307692308</v>
      </c>
      <c r="G96" s="103">
        <v>13</v>
      </c>
      <c r="H96" s="103">
        <v>29</v>
      </c>
      <c r="I96" s="19">
        <f t="shared" si="61"/>
        <v>16</v>
      </c>
      <c r="J96" s="42">
        <f t="shared" si="62"/>
        <v>2.2307692307692308</v>
      </c>
    </row>
    <row r="97" spans="1:10" ht="23.1" customHeight="1">
      <c r="A97" s="100">
        <v>9</v>
      </c>
      <c r="B97" s="101" t="s">
        <v>37</v>
      </c>
      <c r="C97" s="103">
        <v>42</v>
      </c>
      <c r="D97" s="103">
        <v>36</v>
      </c>
      <c r="E97" s="19">
        <f t="shared" si="59"/>
        <v>-6</v>
      </c>
      <c r="F97" s="42">
        <f t="shared" si="60"/>
        <v>0.8571428571428571</v>
      </c>
      <c r="G97" s="103">
        <v>42</v>
      </c>
      <c r="H97" s="103">
        <v>36</v>
      </c>
      <c r="I97" s="19">
        <f t="shared" si="61"/>
        <v>-6</v>
      </c>
      <c r="J97" s="42">
        <f t="shared" si="62"/>
        <v>0.8571428571428571</v>
      </c>
    </row>
    <row r="98" spans="1:10" ht="23.1" customHeight="1">
      <c r="A98" s="100">
        <v>10</v>
      </c>
      <c r="B98" s="101" t="s">
        <v>38</v>
      </c>
      <c r="C98" s="103">
        <v>11</v>
      </c>
      <c r="D98" s="103">
        <v>16</v>
      </c>
      <c r="E98" s="19">
        <f t="shared" si="59"/>
        <v>5</v>
      </c>
      <c r="F98" s="42">
        <f t="shared" si="60"/>
        <v>1.4545454545454546</v>
      </c>
      <c r="G98" s="103">
        <v>11</v>
      </c>
      <c r="H98" s="103">
        <v>16</v>
      </c>
      <c r="I98" s="19">
        <f t="shared" si="61"/>
        <v>5</v>
      </c>
      <c r="J98" s="42">
        <f t="shared" si="62"/>
        <v>1.4545454545454546</v>
      </c>
    </row>
    <row r="99" spans="1:10" ht="23.1" customHeight="1">
      <c r="A99" s="100">
        <v>11</v>
      </c>
      <c r="B99" s="101" t="s">
        <v>142</v>
      </c>
      <c r="C99" s="103">
        <v>87180.84</v>
      </c>
      <c r="D99" s="103">
        <v>70282.600000000006</v>
      </c>
      <c r="E99" s="19">
        <f t="shared" si="59"/>
        <v>-16898.239999999991</v>
      </c>
      <c r="F99" s="42">
        <f t="shared" si="60"/>
        <v>0.8061702548403985</v>
      </c>
      <c r="G99" s="103">
        <v>87180.84</v>
      </c>
      <c r="H99" s="103">
        <v>70282.600000000006</v>
      </c>
      <c r="I99" s="19">
        <f t="shared" si="61"/>
        <v>-16898.239999999991</v>
      </c>
      <c r="J99" s="42">
        <f t="shared" si="62"/>
        <v>0.8061702548403985</v>
      </c>
    </row>
    <row r="100" spans="1:10" ht="23.1" customHeight="1">
      <c r="A100" s="100">
        <v>12</v>
      </c>
      <c r="B100" s="101" t="s">
        <v>39</v>
      </c>
      <c r="C100" s="103">
        <v>10</v>
      </c>
      <c r="D100" s="103">
        <v>6</v>
      </c>
      <c r="E100" s="19">
        <f t="shared" si="59"/>
        <v>-4</v>
      </c>
      <c r="F100" s="42">
        <f t="shared" si="60"/>
        <v>0.6</v>
      </c>
      <c r="G100" s="103">
        <v>10</v>
      </c>
      <c r="H100" s="103">
        <v>6</v>
      </c>
      <c r="I100" s="19">
        <f t="shared" si="61"/>
        <v>-4</v>
      </c>
      <c r="J100" s="42">
        <f t="shared" si="62"/>
        <v>0.6</v>
      </c>
    </row>
    <row r="101" spans="1:10" ht="23.1" customHeight="1">
      <c r="A101" s="100">
        <v>13</v>
      </c>
      <c r="B101" s="101" t="s">
        <v>142</v>
      </c>
      <c r="C101" s="103">
        <v>5042</v>
      </c>
      <c r="D101" s="103">
        <v>6600</v>
      </c>
      <c r="E101" s="19">
        <f t="shared" si="59"/>
        <v>1558</v>
      </c>
      <c r="F101" s="42">
        <f t="shared" si="60"/>
        <v>1.3090043633478778</v>
      </c>
      <c r="G101" s="103">
        <v>5042</v>
      </c>
      <c r="H101" s="103">
        <v>6600</v>
      </c>
      <c r="I101" s="19">
        <f t="shared" si="61"/>
        <v>1558</v>
      </c>
      <c r="J101" s="42">
        <f t="shared" si="62"/>
        <v>1.3090043633478778</v>
      </c>
    </row>
    <row r="102" spans="1:10" ht="23.1" customHeight="1">
      <c r="A102" s="100">
        <v>14</v>
      </c>
      <c r="B102" s="101" t="s">
        <v>40</v>
      </c>
      <c r="C102" s="103">
        <v>7</v>
      </c>
      <c r="D102" s="103">
        <v>4</v>
      </c>
      <c r="E102" s="19">
        <f t="shared" si="59"/>
        <v>-3</v>
      </c>
      <c r="F102" s="42">
        <f t="shared" si="60"/>
        <v>0.5714285714285714</v>
      </c>
      <c r="G102" s="103">
        <v>7</v>
      </c>
      <c r="H102" s="103">
        <v>4</v>
      </c>
      <c r="I102" s="19">
        <f t="shared" si="61"/>
        <v>-3</v>
      </c>
      <c r="J102" s="42">
        <f t="shared" si="62"/>
        <v>0.5714285714285714</v>
      </c>
    </row>
    <row r="103" spans="1:10" ht="23.1" customHeight="1">
      <c r="A103" s="100">
        <v>15</v>
      </c>
      <c r="B103" s="101" t="s">
        <v>142</v>
      </c>
      <c r="C103" s="103">
        <v>10405.5</v>
      </c>
      <c r="D103" s="103">
        <v>1784.9</v>
      </c>
      <c r="E103" s="19">
        <f t="shared" si="59"/>
        <v>-8620.6</v>
      </c>
      <c r="F103" s="42">
        <f t="shared" si="60"/>
        <v>0.17153428475325549</v>
      </c>
      <c r="G103" s="103">
        <v>10405.5</v>
      </c>
      <c r="H103" s="103">
        <v>1784.9</v>
      </c>
      <c r="I103" s="19">
        <f t="shared" si="61"/>
        <v>-8620.6</v>
      </c>
      <c r="J103" s="42">
        <f t="shared" si="62"/>
        <v>0.17153428475325549</v>
      </c>
    </row>
    <row r="104" spans="1:10" ht="23.1" customHeight="1">
      <c r="A104" s="100">
        <v>16</v>
      </c>
      <c r="B104" s="101" t="s">
        <v>143</v>
      </c>
      <c r="C104" s="103">
        <v>2</v>
      </c>
      <c r="D104" s="103">
        <v>2</v>
      </c>
      <c r="E104" s="19">
        <f t="shared" si="59"/>
        <v>0</v>
      </c>
      <c r="F104" s="42">
        <f t="shared" si="60"/>
        <v>1</v>
      </c>
      <c r="G104" s="103">
        <v>2</v>
      </c>
      <c r="H104" s="103">
        <v>2</v>
      </c>
      <c r="I104" s="19">
        <f t="shared" si="61"/>
        <v>0</v>
      </c>
      <c r="J104" s="42">
        <f t="shared" si="62"/>
        <v>1</v>
      </c>
    </row>
    <row r="105" spans="1:10" ht="23.1" customHeight="1">
      <c r="A105" s="100">
        <v>17</v>
      </c>
      <c r="B105" s="102" t="s">
        <v>142</v>
      </c>
      <c r="C105" s="103">
        <v>1441.6</v>
      </c>
      <c r="D105" s="103">
        <v>1932.6</v>
      </c>
      <c r="E105" s="19">
        <f t="shared" si="59"/>
        <v>491</v>
      </c>
      <c r="F105" s="42">
        <f t="shared" si="60"/>
        <v>1.3405937846836848</v>
      </c>
      <c r="G105" s="103">
        <v>1441.6</v>
      </c>
      <c r="H105" s="103">
        <v>1932.6</v>
      </c>
      <c r="I105" s="19">
        <f t="shared" si="61"/>
        <v>491</v>
      </c>
      <c r="J105" s="42">
        <f t="shared" si="62"/>
        <v>1.3405937846836848</v>
      </c>
    </row>
    <row r="106" spans="1:10" ht="23.1" customHeight="1">
      <c r="A106" s="100">
        <v>18</v>
      </c>
      <c r="B106" s="102" t="s">
        <v>42</v>
      </c>
      <c r="C106" s="103">
        <v>0</v>
      </c>
      <c r="D106" s="103">
        <v>1</v>
      </c>
      <c r="E106" s="19">
        <f t="shared" si="59"/>
        <v>1</v>
      </c>
      <c r="F106" s="42">
        <f t="shared" si="60"/>
        <v>1</v>
      </c>
      <c r="G106" s="103">
        <v>0</v>
      </c>
      <c r="H106" s="103">
        <v>1</v>
      </c>
      <c r="I106" s="19">
        <f t="shared" si="61"/>
        <v>1</v>
      </c>
      <c r="J106" s="42">
        <f t="shared" si="62"/>
        <v>1</v>
      </c>
    </row>
    <row r="107" spans="1:10" ht="23.1" customHeight="1">
      <c r="A107" s="100">
        <v>19</v>
      </c>
      <c r="B107" s="102" t="s">
        <v>142</v>
      </c>
      <c r="C107" s="103">
        <v>0</v>
      </c>
      <c r="D107" s="103">
        <v>6847.1</v>
      </c>
      <c r="E107" s="19">
        <f t="shared" si="59"/>
        <v>6847.1</v>
      </c>
      <c r="F107" s="42">
        <f t="shared" si="60"/>
        <v>6847.1</v>
      </c>
      <c r="G107" s="103">
        <v>0</v>
      </c>
      <c r="H107" s="103">
        <v>6847.1</v>
      </c>
      <c r="I107" s="19">
        <f t="shared" si="61"/>
        <v>6847.1</v>
      </c>
      <c r="J107" s="42">
        <f t="shared" si="62"/>
        <v>6847.1</v>
      </c>
    </row>
    <row r="108" spans="1:10" ht="23.1" customHeight="1">
      <c r="A108" s="100">
        <v>20</v>
      </c>
      <c r="B108" s="101" t="s">
        <v>302</v>
      </c>
      <c r="C108" s="103">
        <v>0</v>
      </c>
      <c r="D108" s="103">
        <v>1</v>
      </c>
      <c r="E108" s="19">
        <f t="shared" si="59"/>
        <v>1</v>
      </c>
      <c r="F108" s="42">
        <f t="shared" si="60"/>
        <v>1</v>
      </c>
      <c r="G108" s="103">
        <v>0</v>
      </c>
      <c r="H108" s="103">
        <v>1</v>
      </c>
      <c r="I108" s="19">
        <f t="shared" si="61"/>
        <v>1</v>
      </c>
      <c r="J108" s="42">
        <f t="shared" si="62"/>
        <v>1</v>
      </c>
    </row>
    <row r="109" spans="1:10" ht="23.1" customHeight="1">
      <c r="A109" s="100">
        <v>21</v>
      </c>
      <c r="B109" s="102" t="s">
        <v>142</v>
      </c>
      <c r="C109" s="103">
        <v>0</v>
      </c>
      <c r="D109" s="103">
        <v>1974.1</v>
      </c>
      <c r="E109" s="19">
        <f t="shared" si="59"/>
        <v>1974.1</v>
      </c>
      <c r="F109" s="42">
        <f t="shared" si="60"/>
        <v>1974.1</v>
      </c>
      <c r="G109" s="103">
        <v>0</v>
      </c>
      <c r="H109" s="103">
        <v>1974.1</v>
      </c>
      <c r="I109" s="19">
        <f t="shared" si="61"/>
        <v>1974.1</v>
      </c>
      <c r="J109" s="42">
        <f t="shared" si="62"/>
        <v>1974.1</v>
      </c>
    </row>
    <row r="110" spans="1:10" ht="23.1" customHeight="1">
      <c r="A110" s="104">
        <v>22</v>
      </c>
      <c r="B110" s="24" t="s">
        <v>39</v>
      </c>
      <c r="C110" s="104">
        <v>0</v>
      </c>
      <c r="D110" s="104">
        <v>0</v>
      </c>
      <c r="E110" s="19" t="str">
        <f t="shared" si="59"/>
        <v/>
      </c>
      <c r="F110" s="42" t="str">
        <f t="shared" si="60"/>
        <v/>
      </c>
      <c r="G110" s="104">
        <v>0</v>
      </c>
      <c r="H110" s="104">
        <v>0</v>
      </c>
      <c r="I110" s="19" t="str">
        <f t="shared" si="61"/>
        <v/>
      </c>
      <c r="J110" s="42" t="str">
        <f t="shared" si="62"/>
        <v/>
      </c>
    </row>
    <row r="111" spans="1:10" ht="23.1" customHeight="1">
      <c r="A111" s="17">
        <v>23</v>
      </c>
      <c r="B111" s="24" t="s">
        <v>40</v>
      </c>
      <c r="C111" s="40">
        <v>0</v>
      </c>
      <c r="D111" s="40">
        <v>0</v>
      </c>
      <c r="E111" s="19" t="str">
        <f t="shared" si="59"/>
        <v/>
      </c>
      <c r="F111" s="42" t="str">
        <f t="shared" si="60"/>
        <v/>
      </c>
      <c r="G111" s="40">
        <v>0</v>
      </c>
      <c r="H111" s="40">
        <v>0</v>
      </c>
      <c r="I111" s="19" t="str">
        <f t="shared" si="61"/>
        <v/>
      </c>
      <c r="J111" s="42" t="str">
        <f t="shared" si="62"/>
        <v/>
      </c>
    </row>
    <row r="112" spans="1:10" ht="23.1" customHeight="1">
      <c r="A112" s="17">
        <v>24</v>
      </c>
      <c r="B112" s="24" t="s">
        <v>143</v>
      </c>
      <c r="C112" s="40">
        <v>0</v>
      </c>
      <c r="D112" s="40">
        <v>0</v>
      </c>
      <c r="E112" s="19" t="str">
        <f t="shared" si="59"/>
        <v/>
      </c>
      <c r="F112" s="42" t="str">
        <f t="shared" si="60"/>
        <v/>
      </c>
      <c r="G112" s="40">
        <v>0</v>
      </c>
      <c r="H112" s="40">
        <v>0</v>
      </c>
      <c r="I112" s="19" t="str">
        <f t="shared" si="61"/>
        <v/>
      </c>
      <c r="J112" s="42" t="str">
        <f t="shared" si="62"/>
        <v/>
      </c>
    </row>
    <row r="113" spans="1:10" ht="23.1" customHeight="1">
      <c r="A113" s="17">
        <v>25</v>
      </c>
      <c r="B113" s="24" t="s">
        <v>42</v>
      </c>
      <c r="C113" s="40">
        <v>0</v>
      </c>
      <c r="D113" s="40">
        <v>0</v>
      </c>
      <c r="E113" s="19" t="str">
        <f t="shared" si="59"/>
        <v/>
      </c>
      <c r="F113" s="42" t="str">
        <f t="shared" si="60"/>
        <v/>
      </c>
      <c r="G113" s="40">
        <v>0</v>
      </c>
      <c r="H113" s="40">
        <v>0</v>
      </c>
      <c r="I113" s="19" t="str">
        <f t="shared" si="61"/>
        <v/>
      </c>
      <c r="J113" s="42" t="str">
        <f t="shared" si="62"/>
        <v/>
      </c>
    </row>
    <row r="114" spans="1:10" ht="23.1" customHeight="1">
      <c r="A114" s="17">
        <v>26</v>
      </c>
      <c r="B114" s="24" t="s">
        <v>43</v>
      </c>
      <c r="C114" s="40">
        <v>0</v>
      </c>
      <c r="D114" s="40">
        <v>0</v>
      </c>
      <c r="E114" s="19" t="str">
        <f t="shared" si="59"/>
        <v/>
      </c>
      <c r="F114" s="42" t="str">
        <f t="shared" si="60"/>
        <v/>
      </c>
      <c r="G114" s="40">
        <v>0</v>
      </c>
      <c r="H114" s="40">
        <v>0</v>
      </c>
      <c r="I114" s="19" t="str">
        <f t="shared" si="61"/>
        <v/>
      </c>
      <c r="J114" s="42" t="str">
        <f t="shared" si="62"/>
        <v/>
      </c>
    </row>
    <row r="115" spans="1:10" ht="23.1" customHeight="1">
      <c r="A115" s="17">
        <v>27</v>
      </c>
      <c r="B115" s="23" t="s">
        <v>166</v>
      </c>
      <c r="C115" s="40">
        <v>41</v>
      </c>
      <c r="D115" s="40">
        <v>46</v>
      </c>
      <c r="E115" s="19">
        <f t="shared" si="59"/>
        <v>5</v>
      </c>
      <c r="F115" s="42">
        <f t="shared" si="60"/>
        <v>1.1219512195121952</v>
      </c>
      <c r="G115" s="40">
        <v>41</v>
      </c>
      <c r="H115" s="40">
        <v>46</v>
      </c>
      <c r="I115" s="19">
        <f t="shared" si="61"/>
        <v>5</v>
      </c>
      <c r="J115" s="42">
        <f t="shared" si="62"/>
        <v>1.1219512195121952</v>
      </c>
    </row>
    <row r="116" spans="1:10" ht="23.1" customHeight="1">
      <c r="A116" s="17">
        <v>28</v>
      </c>
      <c r="B116" s="24" t="s">
        <v>37</v>
      </c>
      <c r="C116" s="40">
        <v>35</v>
      </c>
      <c r="D116" s="40">
        <v>37</v>
      </c>
      <c r="E116" s="19">
        <f t="shared" si="59"/>
        <v>2</v>
      </c>
      <c r="F116" s="42">
        <f t="shared" si="60"/>
        <v>1.0571428571428572</v>
      </c>
      <c r="G116" s="40">
        <v>35</v>
      </c>
      <c r="H116" s="40">
        <v>37</v>
      </c>
      <c r="I116" s="19">
        <f t="shared" si="61"/>
        <v>2</v>
      </c>
      <c r="J116" s="42">
        <f t="shared" si="62"/>
        <v>1.0571428571428572</v>
      </c>
    </row>
    <row r="117" spans="1:10" ht="23.1" customHeight="1">
      <c r="A117" s="17">
        <v>29</v>
      </c>
      <c r="B117" s="24" t="s">
        <v>38</v>
      </c>
      <c r="C117" s="40">
        <v>2</v>
      </c>
      <c r="D117" s="40">
        <v>4</v>
      </c>
      <c r="E117" s="19">
        <f t="shared" si="59"/>
        <v>2</v>
      </c>
      <c r="F117" s="42">
        <f t="shared" si="60"/>
        <v>2</v>
      </c>
      <c r="G117" s="40">
        <v>2</v>
      </c>
      <c r="H117" s="40">
        <v>4</v>
      </c>
      <c r="I117" s="19">
        <f t="shared" si="61"/>
        <v>2</v>
      </c>
      <c r="J117" s="42">
        <f t="shared" si="62"/>
        <v>2</v>
      </c>
    </row>
    <row r="118" spans="1:10" ht="23.1" customHeight="1">
      <c r="A118" s="17">
        <v>30</v>
      </c>
      <c r="B118" s="24" t="s">
        <v>40</v>
      </c>
      <c r="C118" s="40">
        <v>4</v>
      </c>
      <c r="D118" s="40">
        <v>5</v>
      </c>
      <c r="E118" s="19">
        <f t="shared" si="59"/>
        <v>1</v>
      </c>
      <c r="F118" s="42">
        <f t="shared" si="60"/>
        <v>1.25</v>
      </c>
      <c r="G118" s="40">
        <v>4</v>
      </c>
      <c r="H118" s="40">
        <v>5</v>
      </c>
      <c r="I118" s="19">
        <f t="shared" si="61"/>
        <v>1</v>
      </c>
      <c r="J118" s="42">
        <f t="shared" si="62"/>
        <v>1.25</v>
      </c>
    </row>
    <row r="119" spans="1:10" ht="23.1" customHeight="1">
      <c r="A119" s="17">
        <v>31</v>
      </c>
      <c r="B119" s="24" t="s">
        <v>41</v>
      </c>
      <c r="C119" s="40">
        <v>0</v>
      </c>
      <c r="D119" s="40">
        <v>2</v>
      </c>
      <c r="E119" s="19">
        <f t="shared" si="59"/>
        <v>2</v>
      </c>
      <c r="F119" s="42">
        <f t="shared" si="60"/>
        <v>2</v>
      </c>
      <c r="G119" s="40">
        <v>0</v>
      </c>
      <c r="H119" s="40">
        <v>2</v>
      </c>
      <c r="I119" s="19">
        <f t="shared" si="61"/>
        <v>2</v>
      </c>
      <c r="J119" s="42">
        <f t="shared" si="62"/>
        <v>2</v>
      </c>
    </row>
    <row r="120" spans="1:10" ht="23.1" customHeight="1">
      <c r="A120" s="17">
        <v>32</v>
      </c>
      <c r="B120" s="24" t="s">
        <v>39</v>
      </c>
      <c r="C120" s="40">
        <v>0</v>
      </c>
      <c r="D120" s="40">
        <v>0</v>
      </c>
      <c r="E120" s="19" t="str">
        <f t="shared" si="59"/>
        <v/>
      </c>
      <c r="F120" s="42" t="str">
        <f t="shared" si="60"/>
        <v/>
      </c>
      <c r="G120" s="40">
        <v>0</v>
      </c>
      <c r="H120" s="40">
        <v>0</v>
      </c>
      <c r="I120" s="19" t="str">
        <f t="shared" si="61"/>
        <v/>
      </c>
      <c r="J120" s="42" t="str">
        <f t="shared" si="62"/>
        <v/>
      </c>
    </row>
    <row r="121" spans="1:10" ht="23.1" customHeight="1">
      <c r="A121" s="17">
        <v>33</v>
      </c>
      <c r="B121" s="24" t="s">
        <v>44</v>
      </c>
      <c r="C121" s="40">
        <v>1121274.5</v>
      </c>
      <c r="D121" s="40">
        <v>1447330</v>
      </c>
      <c r="E121" s="19">
        <f t="shared" si="59"/>
        <v>326055.5</v>
      </c>
      <c r="F121" s="42">
        <f t="shared" si="60"/>
        <v>1.2907900786114372</v>
      </c>
      <c r="G121" s="40">
        <v>1121274.5</v>
      </c>
      <c r="H121" s="40">
        <v>932911.9</v>
      </c>
      <c r="I121" s="19">
        <f t="shared" si="61"/>
        <v>-188362.59999999998</v>
      </c>
      <c r="J121" s="42">
        <f t="shared" si="62"/>
        <v>0.83201027045562881</v>
      </c>
    </row>
    <row r="122" spans="1:10" ht="23.1" customHeight="1">
      <c r="A122" s="17">
        <v>34</v>
      </c>
      <c r="B122" s="24" t="s">
        <v>45</v>
      </c>
      <c r="C122" s="40">
        <v>1121274.5</v>
      </c>
      <c r="D122" s="40">
        <v>1125348.3999999999</v>
      </c>
      <c r="E122" s="19">
        <f t="shared" si="59"/>
        <v>4073.8999999999069</v>
      </c>
      <c r="F122" s="42">
        <f t="shared" si="60"/>
        <v>1.0036332762405638</v>
      </c>
      <c r="G122" s="40">
        <v>1121274.5</v>
      </c>
      <c r="H122" s="40">
        <v>769040</v>
      </c>
      <c r="I122" s="19">
        <f t="shared" si="61"/>
        <v>-352234.5</v>
      </c>
      <c r="J122" s="42">
        <f t="shared" si="62"/>
        <v>0.68586238249420639</v>
      </c>
    </row>
    <row r="123" spans="1:10" ht="23.1" customHeight="1">
      <c r="A123" s="17">
        <v>35</v>
      </c>
      <c r="B123" s="24" t="s">
        <v>46</v>
      </c>
      <c r="C123" s="40">
        <v>0</v>
      </c>
      <c r="D123" s="40">
        <v>0</v>
      </c>
      <c r="E123" s="19" t="str">
        <f t="shared" si="59"/>
        <v/>
      </c>
      <c r="F123" s="42" t="str">
        <f t="shared" si="60"/>
        <v/>
      </c>
      <c r="G123" s="40">
        <v>0</v>
      </c>
      <c r="H123" s="40">
        <v>0</v>
      </c>
      <c r="I123" s="19" t="str">
        <f t="shared" si="61"/>
        <v/>
      </c>
      <c r="J123" s="42" t="str">
        <f t="shared" si="62"/>
        <v/>
      </c>
    </row>
    <row r="124" spans="1:10" ht="23.1" customHeight="1"/>
    <row r="125" spans="1:10" ht="15" customHeight="1">
      <c r="A125" s="140" t="s">
        <v>246</v>
      </c>
      <c r="B125" s="140"/>
      <c r="C125" s="140"/>
      <c r="D125" s="140"/>
      <c r="E125" s="140"/>
      <c r="F125" s="140"/>
      <c r="G125" s="140"/>
      <c r="H125" s="140"/>
      <c r="I125" s="140"/>
      <c r="J125" s="140"/>
    </row>
    <row r="126" spans="1:10" ht="15" customHeight="1">
      <c r="A126" s="139"/>
      <c r="B126" s="139"/>
      <c r="C126" s="139"/>
      <c r="D126" s="139"/>
      <c r="E126" s="139"/>
      <c r="F126" s="139"/>
      <c r="G126" s="139"/>
      <c r="H126" s="139"/>
      <c r="I126" s="139"/>
      <c r="J126" s="139"/>
    </row>
    <row r="127" spans="1:10" ht="50.1" customHeight="1">
      <c r="A127" s="19"/>
      <c r="B127" s="67" t="s">
        <v>30</v>
      </c>
      <c r="C127" s="67" t="str">
        <f>"Факт " &amp;$J2 &amp; " 2023 г"</f>
        <v>Факт Сентябрь 2023 г</v>
      </c>
      <c r="D127" s="67" t="str">
        <f xml:space="preserve"> "Факт " &amp;$J2 &amp; " 2024 г"</f>
        <v>Факт Сентябрь 2024 г</v>
      </c>
      <c r="E127" s="147" t="s">
        <v>252</v>
      </c>
      <c r="F127" s="148"/>
      <c r="G127" s="67" t="str">
        <f xml:space="preserve"> "Факт Январь -" &amp;$J2 &amp; " 2023 г"</f>
        <v>Факт Январь -Сентябрь 2023 г</v>
      </c>
      <c r="H127" s="67" t="str">
        <f xml:space="preserve"> "Факт Январь -" &amp;$J2 &amp; " 2024 г"</f>
        <v>Факт Январь -Сентябрь 2024 г</v>
      </c>
      <c r="I127" s="147" t="s">
        <v>252</v>
      </c>
      <c r="J127" s="148"/>
    </row>
    <row r="128" spans="1:10" ht="57.75" customHeight="1">
      <c r="A128" s="30"/>
      <c r="B128" s="30"/>
      <c r="E128" s="28" t="s">
        <v>3</v>
      </c>
      <c r="F128" s="12" t="s">
        <v>4</v>
      </c>
      <c r="G128" s="30"/>
      <c r="H128" s="30"/>
      <c r="I128" s="28" t="s">
        <v>3</v>
      </c>
      <c r="J128" s="12" t="s">
        <v>4</v>
      </c>
    </row>
    <row r="129" spans="1:10" ht="20.25" customHeight="1">
      <c r="A129" s="18" t="s">
        <v>1</v>
      </c>
      <c r="B129" s="12" t="s">
        <v>12</v>
      </c>
      <c r="C129" s="12">
        <v>1</v>
      </c>
      <c r="D129" s="12">
        <v>2</v>
      </c>
      <c r="E129" s="12">
        <v>3</v>
      </c>
      <c r="F129" s="12">
        <v>4</v>
      </c>
      <c r="G129" s="12">
        <v>5</v>
      </c>
      <c r="H129" s="12">
        <v>6</v>
      </c>
      <c r="I129" s="12">
        <v>7</v>
      </c>
      <c r="J129" s="12">
        <v>8</v>
      </c>
    </row>
    <row r="130" spans="1:10" ht="23.1" customHeight="1">
      <c r="A130" s="17">
        <v>1</v>
      </c>
      <c r="B130" s="23" t="s">
        <v>278</v>
      </c>
      <c r="C130" s="41"/>
      <c r="D130" s="40"/>
      <c r="E130" s="19" t="str">
        <f t="shared" ref="E130:E164" si="63">IF(AND(C130=0,D130=0),"",IFERROR(IF(OR(D130=0,D130=""),-C130,D130-C130),""))</f>
        <v/>
      </c>
      <c r="F130" s="42" t="str">
        <f t="shared" ref="F130:F164" si="64">IF(AND(D130=0,C130=0),"",IFERROR(IF(C130=0, D130, D130/C130),""))</f>
        <v/>
      </c>
      <c r="G130" s="40"/>
      <c r="H130" s="40"/>
      <c r="I130" s="19" t="str">
        <f t="shared" ref="I130:I164" si="65">IF(AND(G130=0,H130=0),"",IFERROR(IF(OR(H130=0,H130=""),-G130,H130-G130),""))</f>
        <v/>
      </c>
      <c r="J130" s="42" t="str">
        <f t="shared" ref="J130:J164" si="66">IF(AND(H130=0,G130=0),"",IFERROR(IF(G130=0, H130, H130/G130),""))</f>
        <v/>
      </c>
    </row>
    <row r="131" spans="1:10" ht="23.1" customHeight="1">
      <c r="A131" s="17">
        <v>2</v>
      </c>
      <c r="B131" s="24" t="s">
        <v>32</v>
      </c>
      <c r="C131" s="40">
        <v>8</v>
      </c>
      <c r="D131" s="40">
        <v>6</v>
      </c>
      <c r="E131" s="19">
        <f t="shared" si="63"/>
        <v>-2</v>
      </c>
      <c r="F131" s="42">
        <f t="shared" si="64"/>
        <v>0.75</v>
      </c>
      <c r="G131" s="40">
        <v>8</v>
      </c>
      <c r="H131" s="40">
        <v>6</v>
      </c>
      <c r="I131" s="19">
        <f t="shared" si="65"/>
        <v>-2</v>
      </c>
      <c r="J131" s="42">
        <f t="shared" si="66"/>
        <v>0.75</v>
      </c>
    </row>
    <row r="132" spans="1:10" ht="23.1" customHeight="1">
      <c r="A132" s="17">
        <v>3</v>
      </c>
      <c r="B132" s="24" t="s">
        <v>162</v>
      </c>
      <c r="C132" s="40">
        <v>10</v>
      </c>
      <c r="D132" s="40">
        <v>4</v>
      </c>
      <c r="E132" s="19">
        <f t="shared" si="63"/>
        <v>-6</v>
      </c>
      <c r="F132" s="42">
        <f t="shared" si="64"/>
        <v>0.4</v>
      </c>
      <c r="G132" s="40">
        <v>10</v>
      </c>
      <c r="H132" s="40">
        <v>4</v>
      </c>
      <c r="I132" s="19">
        <f t="shared" si="65"/>
        <v>-6</v>
      </c>
      <c r="J132" s="42">
        <f t="shared" si="66"/>
        <v>0.4</v>
      </c>
    </row>
    <row r="133" spans="1:10" ht="23.1" customHeight="1">
      <c r="A133" s="17">
        <v>4</v>
      </c>
      <c r="B133" s="24" t="s">
        <v>163</v>
      </c>
      <c r="C133" s="40">
        <v>2</v>
      </c>
      <c r="D133" s="40">
        <v>4</v>
      </c>
      <c r="E133" s="19">
        <f t="shared" si="63"/>
        <v>2</v>
      </c>
      <c r="F133" s="42">
        <f t="shared" si="64"/>
        <v>2</v>
      </c>
      <c r="G133" s="40">
        <v>2</v>
      </c>
      <c r="H133" s="40">
        <v>4</v>
      </c>
      <c r="I133" s="19">
        <f t="shared" si="65"/>
        <v>2</v>
      </c>
      <c r="J133" s="42">
        <f t="shared" si="66"/>
        <v>2</v>
      </c>
    </row>
    <row r="134" spans="1:10" ht="23.1" customHeight="1">
      <c r="A134" s="17">
        <v>5</v>
      </c>
      <c r="B134" s="24" t="s">
        <v>164</v>
      </c>
      <c r="C134" s="40">
        <v>0</v>
      </c>
      <c r="D134" s="40">
        <v>0</v>
      </c>
      <c r="E134" s="19" t="str">
        <f t="shared" si="63"/>
        <v/>
      </c>
      <c r="F134" s="42" t="str">
        <f t="shared" si="64"/>
        <v/>
      </c>
      <c r="G134" s="40">
        <v>0</v>
      </c>
      <c r="H134" s="40">
        <v>0</v>
      </c>
      <c r="I134" s="19" t="str">
        <f t="shared" si="65"/>
        <v/>
      </c>
      <c r="J134" s="42" t="str">
        <f t="shared" si="66"/>
        <v/>
      </c>
    </row>
    <row r="135" spans="1:10" ht="23.1" customHeight="1">
      <c r="A135" s="17">
        <v>6</v>
      </c>
      <c r="B135" s="46" t="s">
        <v>165</v>
      </c>
      <c r="C135" s="40">
        <v>6</v>
      </c>
      <c r="D135" s="40">
        <v>13</v>
      </c>
      <c r="E135" s="19">
        <f t="shared" si="63"/>
        <v>7</v>
      </c>
      <c r="F135" s="42">
        <f t="shared" si="64"/>
        <v>2.1666666666666665</v>
      </c>
      <c r="G135" s="40">
        <v>6</v>
      </c>
      <c r="H135" s="40">
        <v>13</v>
      </c>
      <c r="I135" s="19">
        <f t="shared" si="65"/>
        <v>7</v>
      </c>
      <c r="J135" s="42">
        <f t="shared" si="66"/>
        <v>2.1666666666666665</v>
      </c>
    </row>
    <row r="136" spans="1:10" ht="23.1" customHeight="1">
      <c r="A136" s="100">
        <v>7</v>
      </c>
      <c r="B136" s="101" t="s">
        <v>33</v>
      </c>
      <c r="C136" s="103">
        <v>0</v>
      </c>
      <c r="D136" s="103">
        <v>0</v>
      </c>
      <c r="E136" s="19" t="str">
        <f t="shared" si="63"/>
        <v/>
      </c>
      <c r="F136" s="42" t="str">
        <f t="shared" si="64"/>
        <v/>
      </c>
      <c r="G136" s="103">
        <v>0</v>
      </c>
      <c r="H136" s="103">
        <v>0</v>
      </c>
      <c r="I136" s="19" t="str">
        <f t="shared" si="65"/>
        <v/>
      </c>
      <c r="J136" s="42" t="str">
        <f t="shared" si="66"/>
        <v/>
      </c>
    </row>
    <row r="137" spans="1:10" ht="23.1" customHeight="1">
      <c r="A137" s="100">
        <v>8</v>
      </c>
      <c r="B137" s="101" t="s">
        <v>141</v>
      </c>
      <c r="C137" s="103">
        <v>4</v>
      </c>
      <c r="D137" s="103">
        <v>5</v>
      </c>
      <c r="E137" s="19">
        <f t="shared" si="63"/>
        <v>1</v>
      </c>
      <c r="F137" s="42">
        <f t="shared" si="64"/>
        <v>1.25</v>
      </c>
      <c r="G137" s="103">
        <v>4</v>
      </c>
      <c r="H137" s="103">
        <v>5</v>
      </c>
      <c r="I137" s="19">
        <f t="shared" si="65"/>
        <v>1</v>
      </c>
      <c r="J137" s="42">
        <f t="shared" si="66"/>
        <v>1.25</v>
      </c>
    </row>
    <row r="138" spans="1:10" ht="23.1" customHeight="1">
      <c r="A138" s="100">
        <v>9</v>
      </c>
      <c r="B138" s="101" t="s">
        <v>37</v>
      </c>
      <c r="C138" s="103">
        <v>25</v>
      </c>
      <c r="D138" s="103">
        <v>17</v>
      </c>
      <c r="E138" s="19">
        <f t="shared" si="63"/>
        <v>-8</v>
      </c>
      <c r="F138" s="42">
        <f t="shared" si="64"/>
        <v>0.68</v>
      </c>
      <c r="G138" s="103">
        <v>25</v>
      </c>
      <c r="H138" s="103">
        <v>17</v>
      </c>
      <c r="I138" s="19">
        <f t="shared" si="65"/>
        <v>-8</v>
      </c>
      <c r="J138" s="42">
        <f t="shared" si="66"/>
        <v>0.68</v>
      </c>
    </row>
    <row r="139" spans="1:10" ht="23.1" customHeight="1">
      <c r="A139" s="100">
        <v>10</v>
      </c>
      <c r="B139" s="101" t="s">
        <v>38</v>
      </c>
      <c r="C139" s="103">
        <v>6</v>
      </c>
      <c r="D139" s="103">
        <v>6</v>
      </c>
      <c r="E139" s="19">
        <f t="shared" si="63"/>
        <v>0</v>
      </c>
      <c r="F139" s="42">
        <f t="shared" si="64"/>
        <v>1</v>
      </c>
      <c r="G139" s="103">
        <v>6</v>
      </c>
      <c r="H139" s="103">
        <v>6</v>
      </c>
      <c r="I139" s="19">
        <f t="shared" si="65"/>
        <v>0</v>
      </c>
      <c r="J139" s="42">
        <f t="shared" si="66"/>
        <v>1</v>
      </c>
    </row>
    <row r="140" spans="1:10" ht="23.1" customHeight="1">
      <c r="A140" s="100">
        <v>11</v>
      </c>
      <c r="B140" s="101" t="s">
        <v>142</v>
      </c>
      <c r="C140" s="103">
        <v>47650.27</v>
      </c>
      <c r="D140" s="103">
        <v>31848</v>
      </c>
      <c r="E140" s="19">
        <f t="shared" si="63"/>
        <v>-15802.269999999997</v>
      </c>
      <c r="F140" s="42">
        <f t="shared" si="64"/>
        <v>0.66836976999290876</v>
      </c>
      <c r="G140" s="103">
        <v>47650.27</v>
      </c>
      <c r="H140" s="103">
        <v>31848</v>
      </c>
      <c r="I140" s="19">
        <f t="shared" si="65"/>
        <v>-15802.269999999997</v>
      </c>
      <c r="J140" s="42">
        <f t="shared" si="66"/>
        <v>0.66836976999290876</v>
      </c>
    </row>
    <row r="141" spans="1:10" ht="23.1" customHeight="1">
      <c r="A141" s="100">
        <v>12</v>
      </c>
      <c r="B141" s="101" t="s">
        <v>39</v>
      </c>
      <c r="C141" s="103">
        <v>3</v>
      </c>
      <c r="D141" s="103">
        <v>6</v>
      </c>
      <c r="E141" s="19">
        <f t="shared" si="63"/>
        <v>3</v>
      </c>
      <c r="F141" s="42">
        <f t="shared" si="64"/>
        <v>2</v>
      </c>
      <c r="G141" s="103">
        <v>3</v>
      </c>
      <c r="H141" s="103">
        <v>6</v>
      </c>
      <c r="I141" s="19">
        <f t="shared" si="65"/>
        <v>3</v>
      </c>
      <c r="J141" s="42">
        <f t="shared" si="66"/>
        <v>2</v>
      </c>
    </row>
    <row r="142" spans="1:10" ht="23.1" customHeight="1">
      <c r="A142" s="100">
        <v>13</v>
      </c>
      <c r="B142" s="101" t="s">
        <v>142</v>
      </c>
      <c r="C142" s="103">
        <v>1913.12</v>
      </c>
      <c r="D142" s="103">
        <v>1521.2</v>
      </c>
      <c r="E142" s="19">
        <f t="shared" si="63"/>
        <v>-391.91999999999985</v>
      </c>
      <c r="F142" s="42">
        <f t="shared" si="64"/>
        <v>0.79514092163586192</v>
      </c>
      <c r="G142" s="103">
        <v>1913.12</v>
      </c>
      <c r="H142" s="103">
        <v>1521.2</v>
      </c>
      <c r="I142" s="19">
        <f t="shared" si="65"/>
        <v>-391.91999999999985</v>
      </c>
      <c r="J142" s="42">
        <f t="shared" si="66"/>
        <v>0.79514092163586192</v>
      </c>
    </row>
    <row r="143" spans="1:10" ht="23.1" customHeight="1">
      <c r="A143" s="100">
        <v>14</v>
      </c>
      <c r="B143" s="101" t="s">
        <v>40</v>
      </c>
      <c r="C143" s="103">
        <v>1</v>
      </c>
      <c r="D143" s="103">
        <v>0</v>
      </c>
      <c r="E143" s="19">
        <f t="shared" si="63"/>
        <v>-1</v>
      </c>
      <c r="F143" s="42">
        <f t="shared" si="64"/>
        <v>0</v>
      </c>
      <c r="G143" s="103">
        <v>1</v>
      </c>
      <c r="H143" s="103">
        <v>0</v>
      </c>
      <c r="I143" s="19">
        <f t="shared" si="65"/>
        <v>-1</v>
      </c>
      <c r="J143" s="42">
        <f t="shared" si="66"/>
        <v>0</v>
      </c>
    </row>
    <row r="144" spans="1:10" ht="23.1" customHeight="1">
      <c r="A144" s="100">
        <v>15</v>
      </c>
      <c r="B144" s="101" t="s">
        <v>142</v>
      </c>
      <c r="C144" s="103">
        <v>721.72</v>
      </c>
      <c r="D144" s="103">
        <v>0</v>
      </c>
      <c r="E144" s="19">
        <f t="shared" si="63"/>
        <v>-721.72</v>
      </c>
      <c r="F144" s="42">
        <f t="shared" si="64"/>
        <v>0</v>
      </c>
      <c r="G144" s="103">
        <v>721.72</v>
      </c>
      <c r="H144" s="103">
        <v>0</v>
      </c>
      <c r="I144" s="19">
        <f t="shared" si="65"/>
        <v>-721.72</v>
      </c>
      <c r="J144" s="42">
        <f t="shared" si="66"/>
        <v>0</v>
      </c>
    </row>
    <row r="145" spans="1:10" ht="23.1" customHeight="1">
      <c r="A145" s="100">
        <v>16</v>
      </c>
      <c r="B145" s="101" t="s">
        <v>143</v>
      </c>
      <c r="C145" s="103">
        <v>0</v>
      </c>
      <c r="D145" s="103">
        <v>0</v>
      </c>
      <c r="E145" s="19" t="str">
        <f t="shared" si="63"/>
        <v/>
      </c>
      <c r="F145" s="42" t="str">
        <f t="shared" si="64"/>
        <v/>
      </c>
      <c r="G145" s="103">
        <v>0</v>
      </c>
      <c r="H145" s="103">
        <v>0</v>
      </c>
      <c r="I145" s="19" t="str">
        <f t="shared" si="65"/>
        <v/>
      </c>
      <c r="J145" s="42" t="str">
        <f t="shared" si="66"/>
        <v/>
      </c>
    </row>
    <row r="146" spans="1:10" ht="23.1" customHeight="1">
      <c r="A146" s="100">
        <v>17</v>
      </c>
      <c r="B146" s="102" t="s">
        <v>142</v>
      </c>
      <c r="C146" s="103">
        <v>0</v>
      </c>
      <c r="D146" s="103">
        <v>0</v>
      </c>
      <c r="E146" s="19" t="str">
        <f t="shared" si="63"/>
        <v/>
      </c>
      <c r="F146" s="42" t="str">
        <f t="shared" si="64"/>
        <v/>
      </c>
      <c r="G146" s="103">
        <v>0</v>
      </c>
      <c r="H146" s="103">
        <v>0</v>
      </c>
      <c r="I146" s="19" t="str">
        <f t="shared" si="65"/>
        <v/>
      </c>
      <c r="J146" s="42" t="str">
        <f t="shared" si="66"/>
        <v/>
      </c>
    </row>
    <row r="147" spans="1:10" ht="23.1" customHeight="1">
      <c r="A147" s="100">
        <v>18</v>
      </c>
      <c r="B147" s="102" t="s">
        <v>42</v>
      </c>
      <c r="C147" s="103">
        <v>1</v>
      </c>
      <c r="D147" s="103">
        <v>0</v>
      </c>
      <c r="E147" s="19">
        <f t="shared" si="63"/>
        <v>-1</v>
      </c>
      <c r="F147" s="42">
        <f t="shared" si="64"/>
        <v>0</v>
      </c>
      <c r="G147" s="103">
        <v>1</v>
      </c>
      <c r="H147" s="103">
        <v>0</v>
      </c>
      <c r="I147" s="19">
        <f t="shared" si="65"/>
        <v>-1</v>
      </c>
      <c r="J147" s="42">
        <f t="shared" si="66"/>
        <v>0</v>
      </c>
    </row>
    <row r="148" spans="1:10" ht="23.1" customHeight="1">
      <c r="A148" s="100">
        <v>19</v>
      </c>
      <c r="B148" s="102" t="s">
        <v>142</v>
      </c>
      <c r="C148" s="103">
        <v>0</v>
      </c>
      <c r="D148" s="103">
        <v>0</v>
      </c>
      <c r="E148" s="19" t="str">
        <f t="shared" si="63"/>
        <v/>
      </c>
      <c r="F148" s="42" t="str">
        <f t="shared" si="64"/>
        <v/>
      </c>
      <c r="G148" s="103">
        <v>0</v>
      </c>
      <c r="H148" s="103">
        <v>0</v>
      </c>
      <c r="I148" s="19" t="str">
        <f t="shared" si="65"/>
        <v/>
      </c>
      <c r="J148" s="42" t="str">
        <f t="shared" si="66"/>
        <v/>
      </c>
    </row>
    <row r="149" spans="1:10" ht="23.1" customHeight="1">
      <c r="A149" s="17">
        <v>20</v>
      </c>
      <c r="B149" s="101" t="s">
        <v>302</v>
      </c>
      <c r="C149" s="40">
        <v>0</v>
      </c>
      <c r="D149" s="40">
        <v>0</v>
      </c>
      <c r="E149" s="19" t="str">
        <f t="shared" si="63"/>
        <v/>
      </c>
      <c r="F149" s="42" t="str">
        <f t="shared" si="64"/>
        <v/>
      </c>
      <c r="G149" s="40">
        <v>0</v>
      </c>
      <c r="H149" s="40">
        <v>0</v>
      </c>
      <c r="I149" s="19" t="str">
        <f t="shared" si="65"/>
        <v/>
      </c>
      <c r="J149" s="42" t="str">
        <f t="shared" si="66"/>
        <v/>
      </c>
    </row>
    <row r="150" spans="1:10" ht="23.1" customHeight="1">
      <c r="A150" s="17">
        <v>21</v>
      </c>
      <c r="B150" s="102" t="s">
        <v>142</v>
      </c>
      <c r="C150" s="40">
        <v>0</v>
      </c>
      <c r="D150" s="40">
        <v>0</v>
      </c>
      <c r="E150" s="19" t="str">
        <f t="shared" si="63"/>
        <v/>
      </c>
      <c r="F150" s="42" t="str">
        <f t="shared" si="64"/>
        <v/>
      </c>
      <c r="G150" s="40">
        <v>0</v>
      </c>
      <c r="H150" s="40">
        <v>0</v>
      </c>
      <c r="I150" s="19" t="str">
        <f t="shared" si="65"/>
        <v/>
      </c>
      <c r="J150" s="42" t="str">
        <f t="shared" si="66"/>
        <v/>
      </c>
    </row>
    <row r="151" spans="1:10" ht="23.1" customHeight="1">
      <c r="A151" s="17">
        <v>22</v>
      </c>
      <c r="B151" s="24" t="s">
        <v>39</v>
      </c>
      <c r="C151" s="40">
        <v>0</v>
      </c>
      <c r="D151" s="40">
        <v>0</v>
      </c>
      <c r="E151" s="19" t="str">
        <f t="shared" si="63"/>
        <v/>
      </c>
      <c r="F151" s="42" t="str">
        <f t="shared" si="64"/>
        <v/>
      </c>
      <c r="G151" s="40">
        <v>0</v>
      </c>
      <c r="H151" s="40">
        <v>0</v>
      </c>
      <c r="I151" s="19" t="str">
        <f t="shared" si="65"/>
        <v/>
      </c>
      <c r="J151" s="42" t="str">
        <f t="shared" si="66"/>
        <v/>
      </c>
    </row>
    <row r="152" spans="1:10" ht="23.1" customHeight="1">
      <c r="A152" s="17">
        <v>23</v>
      </c>
      <c r="B152" s="24" t="s">
        <v>40</v>
      </c>
      <c r="C152" s="40">
        <v>0</v>
      </c>
      <c r="D152" s="40">
        <v>0</v>
      </c>
      <c r="E152" s="19" t="str">
        <f t="shared" si="63"/>
        <v/>
      </c>
      <c r="F152" s="42" t="str">
        <f t="shared" si="64"/>
        <v/>
      </c>
      <c r="G152" s="40">
        <v>0</v>
      </c>
      <c r="H152" s="40">
        <v>0</v>
      </c>
      <c r="I152" s="19" t="str">
        <f t="shared" si="65"/>
        <v/>
      </c>
      <c r="J152" s="42" t="str">
        <f t="shared" si="66"/>
        <v/>
      </c>
    </row>
    <row r="153" spans="1:10" ht="23.1" customHeight="1">
      <c r="A153" s="17">
        <v>24</v>
      </c>
      <c r="B153" s="24" t="s">
        <v>143</v>
      </c>
      <c r="C153" s="40">
        <v>0</v>
      </c>
      <c r="D153" s="40">
        <v>0</v>
      </c>
      <c r="E153" s="19" t="str">
        <f t="shared" si="63"/>
        <v/>
      </c>
      <c r="F153" s="42" t="str">
        <f t="shared" si="64"/>
        <v/>
      </c>
      <c r="G153" s="40">
        <v>0</v>
      </c>
      <c r="H153" s="40">
        <v>0</v>
      </c>
      <c r="I153" s="19" t="str">
        <f t="shared" si="65"/>
        <v/>
      </c>
      <c r="J153" s="42" t="str">
        <f t="shared" si="66"/>
        <v/>
      </c>
    </row>
    <row r="154" spans="1:10" ht="23.1" customHeight="1">
      <c r="A154" s="17">
        <v>25</v>
      </c>
      <c r="B154" s="24" t="s">
        <v>42</v>
      </c>
      <c r="C154" s="40">
        <v>0</v>
      </c>
      <c r="D154" s="40">
        <v>0</v>
      </c>
      <c r="E154" s="19" t="str">
        <f t="shared" si="63"/>
        <v/>
      </c>
      <c r="F154" s="42" t="str">
        <f t="shared" si="64"/>
        <v/>
      </c>
      <c r="G154" s="40">
        <v>0</v>
      </c>
      <c r="H154" s="40">
        <v>0</v>
      </c>
      <c r="I154" s="19" t="str">
        <f t="shared" si="65"/>
        <v/>
      </c>
      <c r="J154" s="42" t="str">
        <f t="shared" si="66"/>
        <v/>
      </c>
    </row>
    <row r="155" spans="1:10" ht="23.1" customHeight="1">
      <c r="A155" s="17">
        <v>26</v>
      </c>
      <c r="B155" s="24" t="s">
        <v>43</v>
      </c>
      <c r="C155" s="40">
        <v>0</v>
      </c>
      <c r="D155" s="40">
        <v>0</v>
      </c>
      <c r="E155" s="19" t="str">
        <f t="shared" si="63"/>
        <v/>
      </c>
      <c r="F155" s="42" t="str">
        <f t="shared" si="64"/>
        <v/>
      </c>
      <c r="G155" s="40">
        <v>0</v>
      </c>
      <c r="H155" s="40">
        <v>0</v>
      </c>
      <c r="I155" s="19" t="str">
        <f t="shared" si="65"/>
        <v/>
      </c>
      <c r="J155" s="42" t="str">
        <f t="shared" si="66"/>
        <v/>
      </c>
    </row>
    <row r="156" spans="1:10" ht="23.1" customHeight="1">
      <c r="A156" s="17">
        <v>27</v>
      </c>
      <c r="B156" s="23" t="s">
        <v>166</v>
      </c>
      <c r="C156" s="40">
        <v>19</v>
      </c>
      <c r="D156" s="40">
        <v>32</v>
      </c>
      <c r="E156" s="19">
        <f t="shared" si="63"/>
        <v>13</v>
      </c>
      <c r="F156" s="42">
        <f t="shared" si="64"/>
        <v>1.6842105263157894</v>
      </c>
      <c r="G156" s="40">
        <v>19</v>
      </c>
      <c r="H156" s="40">
        <v>32</v>
      </c>
      <c r="I156" s="19">
        <f t="shared" si="65"/>
        <v>13</v>
      </c>
      <c r="J156" s="42">
        <f t="shared" si="66"/>
        <v>1.6842105263157894</v>
      </c>
    </row>
    <row r="157" spans="1:10" ht="23.1" customHeight="1">
      <c r="A157" s="17">
        <v>28</v>
      </c>
      <c r="B157" s="24" t="s">
        <v>37</v>
      </c>
      <c r="C157" s="40">
        <v>14</v>
      </c>
      <c r="D157" s="40">
        <v>17</v>
      </c>
      <c r="E157" s="19">
        <f t="shared" si="63"/>
        <v>3</v>
      </c>
      <c r="F157" s="42">
        <f t="shared" si="64"/>
        <v>1.2142857142857142</v>
      </c>
      <c r="G157" s="40">
        <v>14</v>
      </c>
      <c r="H157" s="40">
        <v>17</v>
      </c>
      <c r="I157" s="19">
        <f t="shared" si="65"/>
        <v>3</v>
      </c>
      <c r="J157" s="42">
        <f t="shared" si="66"/>
        <v>1.2142857142857142</v>
      </c>
    </row>
    <row r="158" spans="1:10" ht="23.1" customHeight="1">
      <c r="A158" s="17">
        <v>29</v>
      </c>
      <c r="B158" s="24" t="s">
        <v>38</v>
      </c>
      <c r="C158" s="40">
        <v>2</v>
      </c>
      <c r="D158" s="40">
        <v>7</v>
      </c>
      <c r="E158" s="19">
        <f t="shared" si="63"/>
        <v>5</v>
      </c>
      <c r="F158" s="42">
        <f t="shared" si="64"/>
        <v>3.5</v>
      </c>
      <c r="G158" s="40">
        <v>2</v>
      </c>
      <c r="H158" s="40">
        <v>7</v>
      </c>
      <c r="I158" s="19">
        <f t="shared" si="65"/>
        <v>5</v>
      </c>
      <c r="J158" s="42">
        <f t="shared" si="66"/>
        <v>3.5</v>
      </c>
    </row>
    <row r="159" spans="1:10" ht="23.1" customHeight="1">
      <c r="A159" s="17">
        <v>30</v>
      </c>
      <c r="B159" s="24" t="s">
        <v>40</v>
      </c>
      <c r="C159" s="40">
        <v>1</v>
      </c>
      <c r="D159" s="40">
        <v>4</v>
      </c>
      <c r="E159" s="19">
        <f t="shared" si="63"/>
        <v>3</v>
      </c>
      <c r="F159" s="42">
        <f t="shared" si="64"/>
        <v>4</v>
      </c>
      <c r="G159" s="40">
        <v>1</v>
      </c>
      <c r="H159" s="40">
        <v>4</v>
      </c>
      <c r="I159" s="19">
        <f t="shared" si="65"/>
        <v>3</v>
      </c>
      <c r="J159" s="42">
        <f t="shared" si="66"/>
        <v>4</v>
      </c>
    </row>
    <row r="160" spans="1:10" ht="23.1" customHeight="1">
      <c r="A160" s="17">
        <v>31</v>
      </c>
      <c r="B160" s="24" t="s">
        <v>41</v>
      </c>
      <c r="C160" s="40">
        <v>1</v>
      </c>
      <c r="D160" s="40">
        <v>3</v>
      </c>
      <c r="E160" s="19">
        <f t="shared" si="63"/>
        <v>2</v>
      </c>
      <c r="F160" s="42">
        <f t="shared" si="64"/>
        <v>3</v>
      </c>
      <c r="G160" s="40">
        <v>1</v>
      </c>
      <c r="H160" s="40">
        <v>3</v>
      </c>
      <c r="I160" s="19">
        <f t="shared" si="65"/>
        <v>2</v>
      </c>
      <c r="J160" s="42">
        <f t="shared" si="66"/>
        <v>3</v>
      </c>
    </row>
    <row r="161" spans="1:10" ht="23.1" customHeight="1">
      <c r="A161" s="17">
        <v>32</v>
      </c>
      <c r="B161" s="24" t="s">
        <v>39</v>
      </c>
      <c r="C161" s="40">
        <v>1</v>
      </c>
      <c r="D161" s="40">
        <v>1</v>
      </c>
      <c r="E161" s="19">
        <f t="shared" si="63"/>
        <v>0</v>
      </c>
      <c r="F161" s="42">
        <f t="shared" si="64"/>
        <v>1</v>
      </c>
      <c r="G161" s="40">
        <v>1</v>
      </c>
      <c r="H161" s="40">
        <v>1</v>
      </c>
      <c r="I161" s="19">
        <f t="shared" si="65"/>
        <v>0</v>
      </c>
      <c r="J161" s="42">
        <f t="shared" si="66"/>
        <v>1</v>
      </c>
    </row>
    <row r="162" spans="1:10" ht="23.1" customHeight="1">
      <c r="A162" s="17">
        <v>33</v>
      </c>
      <c r="B162" s="24" t="s">
        <v>44</v>
      </c>
      <c r="C162" s="40">
        <v>449419</v>
      </c>
      <c r="D162" s="40">
        <v>448445.1</v>
      </c>
      <c r="E162" s="19">
        <f t="shared" si="63"/>
        <v>-973.90000000002328</v>
      </c>
      <c r="F162" s="42">
        <f t="shared" si="64"/>
        <v>0.99783297991406683</v>
      </c>
      <c r="G162" s="40">
        <v>449419</v>
      </c>
      <c r="H162" s="40">
        <v>274474.09999999998</v>
      </c>
      <c r="I162" s="19">
        <f t="shared" si="65"/>
        <v>-174944.90000000002</v>
      </c>
      <c r="J162" s="42">
        <f t="shared" si="66"/>
        <v>0.61073096598052146</v>
      </c>
    </row>
    <row r="163" spans="1:10" ht="23.1" customHeight="1">
      <c r="A163" s="17">
        <v>34</v>
      </c>
      <c r="B163" s="24" t="s">
        <v>45</v>
      </c>
      <c r="C163" s="40">
        <v>447004.8</v>
      </c>
      <c r="D163" s="40">
        <v>314739.20000000001</v>
      </c>
      <c r="E163" s="19">
        <f t="shared" si="63"/>
        <v>-132265.59999999998</v>
      </c>
      <c r="F163" s="42">
        <f t="shared" si="64"/>
        <v>0.70410698050669707</v>
      </c>
      <c r="G163" s="40">
        <v>447004.8</v>
      </c>
      <c r="H163" s="40">
        <v>212802.5</v>
      </c>
      <c r="I163" s="19">
        <f t="shared" si="65"/>
        <v>-234202.3</v>
      </c>
      <c r="J163" s="42">
        <f t="shared" si="66"/>
        <v>0.47606312057499162</v>
      </c>
    </row>
    <row r="164" spans="1:10" ht="23.1" customHeight="1">
      <c r="A164" s="17">
        <v>35</v>
      </c>
      <c r="B164" s="24" t="s">
        <v>46</v>
      </c>
      <c r="C164" s="40">
        <v>0</v>
      </c>
      <c r="D164" s="40">
        <v>0</v>
      </c>
      <c r="E164" s="19" t="str">
        <f t="shared" si="63"/>
        <v/>
      </c>
      <c r="F164" s="42" t="str">
        <f t="shared" si="64"/>
        <v/>
      </c>
      <c r="G164" s="40">
        <v>0</v>
      </c>
      <c r="H164" s="40">
        <v>0</v>
      </c>
      <c r="I164" s="19" t="str">
        <f t="shared" si="65"/>
        <v/>
      </c>
      <c r="J164" s="42" t="str">
        <f t="shared" si="66"/>
        <v/>
      </c>
    </row>
    <row r="165" spans="1:10" ht="23.1" customHeight="1"/>
    <row r="166" spans="1:10" ht="15" customHeight="1">
      <c r="A166" s="140" t="s">
        <v>247</v>
      </c>
      <c r="B166" s="140"/>
      <c r="C166" s="140"/>
      <c r="D166" s="140"/>
      <c r="E166" s="140"/>
      <c r="F166" s="140"/>
      <c r="G166" s="140"/>
      <c r="H166" s="140"/>
      <c r="I166" s="140"/>
      <c r="J166" s="140"/>
    </row>
    <row r="167" spans="1:10" ht="15" customHeight="1">
      <c r="A167" s="139"/>
      <c r="B167" s="139"/>
      <c r="C167" s="139"/>
      <c r="D167" s="139"/>
      <c r="E167" s="139"/>
      <c r="F167" s="139"/>
      <c r="G167" s="139"/>
      <c r="H167" s="139"/>
      <c r="I167" s="139"/>
      <c r="J167" s="139"/>
    </row>
    <row r="168" spans="1:10" ht="50.1" customHeight="1">
      <c r="A168" s="19"/>
      <c r="B168" s="67" t="s">
        <v>30</v>
      </c>
      <c r="C168" s="67" t="str">
        <f>"Факт " &amp;$J2 &amp; " 2023 г"</f>
        <v>Факт Сентябрь 2023 г</v>
      </c>
      <c r="D168" s="67" t="str">
        <f xml:space="preserve"> "Факт " &amp;$J2&amp; " 2024 г"</f>
        <v>Факт Сентябрь 2024 г</v>
      </c>
      <c r="E168" s="147" t="s">
        <v>252</v>
      </c>
      <c r="F168" s="148"/>
      <c r="G168" s="67" t="str">
        <f xml:space="preserve"> "Факт Январь -" &amp;$J2&amp; " 2023 г"</f>
        <v>Факт Январь -Сентябрь 2023 г</v>
      </c>
      <c r="H168" s="67" t="str">
        <f xml:space="preserve"> "Факт Январь -" &amp;$J2&amp; " 2024 г"</f>
        <v>Факт Январь -Сентябрь 2024 г</v>
      </c>
      <c r="I168" s="147" t="s">
        <v>252</v>
      </c>
      <c r="J168" s="148"/>
    </row>
    <row r="169" spans="1:10" ht="57.75" customHeight="1">
      <c r="A169" s="30"/>
      <c r="B169" s="30"/>
      <c r="E169" s="28" t="s">
        <v>3</v>
      </c>
      <c r="F169" s="12" t="s">
        <v>4</v>
      </c>
      <c r="G169" s="30"/>
      <c r="H169" s="30"/>
      <c r="I169" s="28" t="s">
        <v>3</v>
      </c>
      <c r="J169" s="12" t="s">
        <v>4</v>
      </c>
    </row>
    <row r="170" spans="1:10" ht="20.25" customHeight="1">
      <c r="A170" s="18" t="s">
        <v>1</v>
      </c>
      <c r="B170" s="12" t="s">
        <v>12</v>
      </c>
      <c r="C170" s="12">
        <v>1</v>
      </c>
      <c r="D170" s="12">
        <v>2</v>
      </c>
      <c r="E170" s="12">
        <v>3</v>
      </c>
      <c r="F170" s="12">
        <v>4</v>
      </c>
      <c r="G170" s="12">
        <v>5</v>
      </c>
      <c r="H170" s="12">
        <v>6</v>
      </c>
      <c r="I170" s="12">
        <v>7</v>
      </c>
      <c r="J170" s="12">
        <v>8</v>
      </c>
    </row>
    <row r="171" spans="1:10" ht="23.1" customHeight="1">
      <c r="A171" s="105">
        <v>1</v>
      </c>
      <c r="B171" s="23" t="s">
        <v>278</v>
      </c>
      <c r="C171" s="106"/>
      <c r="D171" s="106"/>
      <c r="E171" s="19" t="str">
        <f t="shared" ref="E171:E205" si="67">IF(AND(C171=0,D171=0),"",IFERROR(IF(OR(D171=0,D171=""),-C171,D171-C171),""))</f>
        <v/>
      </c>
      <c r="F171" s="42" t="str">
        <f t="shared" ref="F171:F205" si="68">IF(AND(D171=0,C171=0),"",IFERROR(IF(C171=0, D171, D171/C171),""))</f>
        <v/>
      </c>
      <c r="G171" s="106"/>
      <c r="H171" s="106"/>
      <c r="I171" s="19" t="str">
        <f t="shared" ref="I171:I205" si="69">IF(AND(G171=0,H171=0),"",IFERROR(IF(OR(H171=0,H171=""),-G171,H171-G171),""))</f>
        <v/>
      </c>
      <c r="J171" s="42" t="str">
        <f t="shared" ref="J171:J205" si="70">IF(AND(H171=0,G171=0),"",IFERROR(IF(G171=0, H171, H171/G171),""))</f>
        <v/>
      </c>
    </row>
    <row r="172" spans="1:10" ht="23.1" customHeight="1">
      <c r="A172" s="105">
        <v>2</v>
      </c>
      <c r="B172" s="24" t="s">
        <v>32</v>
      </c>
      <c r="C172" s="106">
        <v>35</v>
      </c>
      <c r="D172" s="106">
        <v>34</v>
      </c>
      <c r="E172" s="19">
        <f t="shared" si="67"/>
        <v>-1</v>
      </c>
      <c r="F172" s="42">
        <f t="shared" si="68"/>
        <v>0.97142857142857142</v>
      </c>
      <c r="G172" s="106">
        <v>35</v>
      </c>
      <c r="H172" s="106">
        <v>34</v>
      </c>
      <c r="I172" s="19">
        <f t="shared" si="69"/>
        <v>-1</v>
      </c>
      <c r="J172" s="42">
        <f t="shared" si="70"/>
        <v>0.97142857142857142</v>
      </c>
    </row>
    <row r="173" spans="1:10" ht="23.1" customHeight="1">
      <c r="A173" s="105">
        <v>3</v>
      </c>
      <c r="B173" s="24" t="s">
        <v>162</v>
      </c>
      <c r="C173" s="106">
        <v>3</v>
      </c>
      <c r="D173" s="106">
        <v>2</v>
      </c>
      <c r="E173" s="19">
        <f t="shared" si="67"/>
        <v>-1</v>
      </c>
      <c r="F173" s="42">
        <f t="shared" si="68"/>
        <v>0.66666666666666663</v>
      </c>
      <c r="G173" s="106">
        <v>3</v>
      </c>
      <c r="H173" s="106">
        <v>2</v>
      </c>
      <c r="I173" s="19">
        <f t="shared" si="69"/>
        <v>-1</v>
      </c>
      <c r="J173" s="42">
        <f t="shared" si="70"/>
        <v>0.66666666666666663</v>
      </c>
    </row>
    <row r="174" spans="1:10" ht="23.1" customHeight="1">
      <c r="A174" s="105">
        <v>4</v>
      </c>
      <c r="B174" s="24" t="s">
        <v>163</v>
      </c>
      <c r="C174" s="106">
        <v>10</v>
      </c>
      <c r="D174" s="106">
        <v>5</v>
      </c>
      <c r="E174" s="19">
        <f t="shared" si="67"/>
        <v>-5</v>
      </c>
      <c r="F174" s="42">
        <f t="shared" si="68"/>
        <v>0.5</v>
      </c>
      <c r="G174" s="106">
        <v>10</v>
      </c>
      <c r="H174" s="106">
        <v>5</v>
      </c>
      <c r="I174" s="19">
        <f t="shared" si="69"/>
        <v>-5</v>
      </c>
      <c r="J174" s="42">
        <f t="shared" si="70"/>
        <v>0.5</v>
      </c>
    </row>
    <row r="175" spans="1:10" ht="23.1" customHeight="1">
      <c r="A175" s="105">
        <v>5</v>
      </c>
      <c r="B175" s="24" t="s">
        <v>164</v>
      </c>
      <c r="C175" s="106">
        <v>0</v>
      </c>
      <c r="D175" s="106">
        <v>0</v>
      </c>
      <c r="E175" s="19" t="str">
        <f t="shared" si="67"/>
        <v/>
      </c>
      <c r="F175" s="42" t="str">
        <f t="shared" si="68"/>
        <v/>
      </c>
      <c r="G175" s="106">
        <v>0</v>
      </c>
      <c r="H175" s="106">
        <v>0</v>
      </c>
      <c r="I175" s="19" t="str">
        <f t="shared" si="69"/>
        <v/>
      </c>
      <c r="J175" s="42" t="str">
        <f t="shared" si="70"/>
        <v/>
      </c>
    </row>
    <row r="176" spans="1:10" ht="23.1" customHeight="1">
      <c r="A176" s="105">
        <v>6</v>
      </c>
      <c r="B176" s="46" t="s">
        <v>165</v>
      </c>
      <c r="C176" s="106">
        <v>2</v>
      </c>
      <c r="D176" s="106">
        <v>4</v>
      </c>
      <c r="E176" s="19">
        <f t="shared" si="67"/>
        <v>2</v>
      </c>
      <c r="F176" s="42">
        <f t="shared" si="68"/>
        <v>2</v>
      </c>
      <c r="G176" s="106">
        <v>2</v>
      </c>
      <c r="H176" s="106">
        <v>4</v>
      </c>
      <c r="I176" s="19">
        <f t="shared" si="69"/>
        <v>2</v>
      </c>
      <c r="J176" s="42">
        <f t="shared" si="70"/>
        <v>2</v>
      </c>
    </row>
    <row r="177" spans="1:10" ht="23.1" customHeight="1">
      <c r="A177" s="100">
        <v>7</v>
      </c>
      <c r="B177" s="101" t="s">
        <v>33</v>
      </c>
      <c r="C177" s="103">
        <v>0</v>
      </c>
      <c r="D177" s="103">
        <v>0</v>
      </c>
      <c r="E177" s="19" t="str">
        <f t="shared" si="67"/>
        <v/>
      </c>
      <c r="F177" s="42" t="str">
        <f t="shared" si="68"/>
        <v/>
      </c>
      <c r="G177" s="103">
        <v>0</v>
      </c>
      <c r="H177" s="103">
        <v>0</v>
      </c>
      <c r="I177" s="19" t="str">
        <f t="shared" si="69"/>
        <v/>
      </c>
      <c r="J177" s="42" t="str">
        <f t="shared" si="70"/>
        <v/>
      </c>
    </row>
    <row r="178" spans="1:10" ht="23.1" customHeight="1">
      <c r="A178" s="100">
        <v>8</v>
      </c>
      <c r="B178" s="101" t="s">
        <v>141</v>
      </c>
      <c r="C178" s="103">
        <v>10</v>
      </c>
      <c r="D178" s="103">
        <v>22</v>
      </c>
      <c r="E178" s="19">
        <f t="shared" si="67"/>
        <v>12</v>
      </c>
      <c r="F178" s="42">
        <f t="shared" si="68"/>
        <v>2.2000000000000002</v>
      </c>
      <c r="G178" s="103">
        <v>10</v>
      </c>
      <c r="H178" s="103">
        <v>22</v>
      </c>
      <c r="I178" s="19">
        <f t="shared" si="69"/>
        <v>12</v>
      </c>
      <c r="J178" s="42">
        <f t="shared" si="70"/>
        <v>2.2000000000000002</v>
      </c>
    </row>
    <row r="179" spans="1:10" ht="23.1" customHeight="1">
      <c r="A179" s="100">
        <v>9</v>
      </c>
      <c r="B179" s="101" t="s">
        <v>37</v>
      </c>
      <c r="C179" s="103">
        <v>43</v>
      </c>
      <c r="D179" s="103">
        <v>29</v>
      </c>
      <c r="E179" s="19">
        <f t="shared" si="67"/>
        <v>-14</v>
      </c>
      <c r="F179" s="42">
        <f t="shared" si="68"/>
        <v>0.67441860465116277</v>
      </c>
      <c r="G179" s="103">
        <v>43</v>
      </c>
      <c r="H179" s="103">
        <v>29</v>
      </c>
      <c r="I179" s="19">
        <f t="shared" si="69"/>
        <v>-14</v>
      </c>
      <c r="J179" s="42">
        <f t="shared" si="70"/>
        <v>0.67441860465116277</v>
      </c>
    </row>
    <row r="180" spans="1:10" ht="23.1" customHeight="1">
      <c r="A180" s="100">
        <v>10</v>
      </c>
      <c r="B180" s="101" t="s">
        <v>38</v>
      </c>
      <c r="C180" s="103">
        <v>11</v>
      </c>
      <c r="D180" s="103">
        <v>15</v>
      </c>
      <c r="E180" s="19">
        <f t="shared" si="67"/>
        <v>4</v>
      </c>
      <c r="F180" s="42">
        <f t="shared" si="68"/>
        <v>1.3636363636363635</v>
      </c>
      <c r="G180" s="103">
        <v>11</v>
      </c>
      <c r="H180" s="103">
        <v>15</v>
      </c>
      <c r="I180" s="19">
        <f t="shared" si="69"/>
        <v>4</v>
      </c>
      <c r="J180" s="42">
        <f t="shared" si="70"/>
        <v>1.3636363636363635</v>
      </c>
    </row>
    <row r="181" spans="1:10" ht="23.1" customHeight="1">
      <c r="A181" s="100">
        <v>11</v>
      </c>
      <c r="B181" s="101" t="s">
        <v>142</v>
      </c>
      <c r="C181" s="103">
        <v>108940.15</v>
      </c>
      <c r="D181" s="103">
        <v>72294.399999999994</v>
      </c>
      <c r="E181" s="19">
        <f t="shared" si="67"/>
        <v>-36645.75</v>
      </c>
      <c r="F181" s="42">
        <f t="shared" si="68"/>
        <v>0.66361575599078937</v>
      </c>
      <c r="G181" s="103">
        <v>108940.15</v>
      </c>
      <c r="H181" s="103">
        <v>72294.399999999994</v>
      </c>
      <c r="I181" s="19">
        <f t="shared" si="69"/>
        <v>-36645.75</v>
      </c>
      <c r="J181" s="42">
        <f t="shared" si="70"/>
        <v>0.66361575599078937</v>
      </c>
    </row>
    <row r="182" spans="1:10" ht="23.1" customHeight="1">
      <c r="A182" s="100">
        <v>12</v>
      </c>
      <c r="B182" s="101" t="s">
        <v>39</v>
      </c>
      <c r="C182" s="103">
        <v>8</v>
      </c>
      <c r="D182" s="103">
        <v>3</v>
      </c>
      <c r="E182" s="19">
        <f t="shared" si="67"/>
        <v>-5</v>
      </c>
      <c r="F182" s="42">
        <f t="shared" si="68"/>
        <v>0.375</v>
      </c>
      <c r="G182" s="103">
        <v>8</v>
      </c>
      <c r="H182" s="103">
        <v>3</v>
      </c>
      <c r="I182" s="19">
        <f t="shared" si="69"/>
        <v>-5</v>
      </c>
      <c r="J182" s="42">
        <f t="shared" si="70"/>
        <v>0.375</v>
      </c>
    </row>
    <row r="183" spans="1:10" ht="23.1" customHeight="1">
      <c r="A183" s="100">
        <v>13</v>
      </c>
      <c r="B183" s="101" t="s">
        <v>142</v>
      </c>
      <c r="C183" s="103">
        <v>8555.0499999999993</v>
      </c>
      <c r="D183" s="103">
        <v>3517.7</v>
      </c>
      <c r="E183" s="19">
        <f t="shared" si="67"/>
        <v>-5037.3499999999995</v>
      </c>
      <c r="F183" s="42">
        <f t="shared" si="68"/>
        <v>0.41118403749831972</v>
      </c>
      <c r="G183" s="103">
        <v>8555.0499999999993</v>
      </c>
      <c r="H183" s="103">
        <v>3517.7</v>
      </c>
      <c r="I183" s="19">
        <f t="shared" si="69"/>
        <v>-5037.3499999999995</v>
      </c>
      <c r="J183" s="42">
        <f t="shared" si="70"/>
        <v>0.41118403749831972</v>
      </c>
    </row>
    <row r="184" spans="1:10" ht="23.1" customHeight="1">
      <c r="A184" s="100">
        <v>14</v>
      </c>
      <c r="B184" s="101" t="s">
        <v>40</v>
      </c>
      <c r="C184" s="103">
        <v>3</v>
      </c>
      <c r="D184" s="103">
        <v>2</v>
      </c>
      <c r="E184" s="19">
        <f t="shared" si="67"/>
        <v>-1</v>
      </c>
      <c r="F184" s="42">
        <f t="shared" si="68"/>
        <v>0.66666666666666663</v>
      </c>
      <c r="G184" s="103">
        <v>3</v>
      </c>
      <c r="H184" s="103">
        <v>2</v>
      </c>
      <c r="I184" s="19">
        <f t="shared" si="69"/>
        <v>-1</v>
      </c>
      <c r="J184" s="42">
        <f t="shared" si="70"/>
        <v>0.66666666666666663</v>
      </c>
    </row>
    <row r="185" spans="1:10" ht="23.1" customHeight="1">
      <c r="A185" s="100">
        <v>15</v>
      </c>
      <c r="B185" s="101" t="s">
        <v>142</v>
      </c>
      <c r="C185" s="103">
        <v>5477.09</v>
      </c>
      <c r="D185" s="103">
        <v>4457.1000000000004</v>
      </c>
      <c r="E185" s="19">
        <f t="shared" si="67"/>
        <v>-1019.9899999999998</v>
      </c>
      <c r="F185" s="42">
        <f t="shared" si="68"/>
        <v>0.81377154656943751</v>
      </c>
      <c r="G185" s="103">
        <v>5477.09</v>
      </c>
      <c r="H185" s="103">
        <v>4457.1000000000004</v>
      </c>
      <c r="I185" s="19">
        <f t="shared" si="69"/>
        <v>-1019.9899999999998</v>
      </c>
      <c r="J185" s="42">
        <f t="shared" si="70"/>
        <v>0.81377154656943751</v>
      </c>
    </row>
    <row r="186" spans="1:10" ht="23.1" customHeight="1">
      <c r="A186" s="100">
        <v>16</v>
      </c>
      <c r="B186" s="101" t="s">
        <v>143</v>
      </c>
      <c r="C186" s="103">
        <v>0</v>
      </c>
      <c r="D186" s="103">
        <v>0</v>
      </c>
      <c r="E186" s="19" t="str">
        <f t="shared" si="67"/>
        <v/>
      </c>
      <c r="F186" s="42" t="str">
        <f t="shared" si="68"/>
        <v/>
      </c>
      <c r="G186" s="103">
        <v>0</v>
      </c>
      <c r="H186" s="103">
        <v>0</v>
      </c>
      <c r="I186" s="19" t="str">
        <f t="shared" si="69"/>
        <v/>
      </c>
      <c r="J186" s="42" t="str">
        <f t="shared" si="70"/>
        <v/>
      </c>
    </row>
    <row r="187" spans="1:10" ht="23.1" customHeight="1">
      <c r="A187" s="100">
        <v>17</v>
      </c>
      <c r="B187" s="102" t="s">
        <v>142</v>
      </c>
      <c r="C187" s="103">
        <v>0</v>
      </c>
      <c r="D187" s="103">
        <v>0</v>
      </c>
      <c r="E187" s="19" t="str">
        <f t="shared" si="67"/>
        <v/>
      </c>
      <c r="F187" s="42" t="str">
        <f t="shared" si="68"/>
        <v/>
      </c>
      <c r="G187" s="103">
        <v>0</v>
      </c>
      <c r="H187" s="103">
        <v>0</v>
      </c>
      <c r="I187" s="19" t="str">
        <f t="shared" si="69"/>
        <v/>
      </c>
      <c r="J187" s="42" t="str">
        <f t="shared" si="70"/>
        <v/>
      </c>
    </row>
    <row r="188" spans="1:10" ht="23.1" customHeight="1">
      <c r="A188" s="100">
        <v>18</v>
      </c>
      <c r="B188" s="102" t="s">
        <v>42</v>
      </c>
      <c r="C188" s="103">
        <v>1</v>
      </c>
      <c r="D188" s="103">
        <v>1</v>
      </c>
      <c r="E188" s="19">
        <f t="shared" si="67"/>
        <v>0</v>
      </c>
      <c r="F188" s="42">
        <f t="shared" si="68"/>
        <v>1</v>
      </c>
      <c r="G188" s="103">
        <v>1</v>
      </c>
      <c r="H188" s="103">
        <v>1</v>
      </c>
      <c r="I188" s="19">
        <f t="shared" si="69"/>
        <v>0</v>
      </c>
      <c r="J188" s="42">
        <f t="shared" si="70"/>
        <v>1</v>
      </c>
    </row>
    <row r="189" spans="1:10" ht="23.1" customHeight="1">
      <c r="A189" s="100">
        <v>19</v>
      </c>
      <c r="B189" s="102" t="s">
        <v>142</v>
      </c>
      <c r="C189" s="103">
        <v>1500</v>
      </c>
      <c r="D189" s="103">
        <v>4215</v>
      </c>
      <c r="E189" s="19">
        <f t="shared" si="67"/>
        <v>2715</v>
      </c>
      <c r="F189" s="42">
        <f t="shared" si="68"/>
        <v>2.81</v>
      </c>
      <c r="G189" s="103">
        <v>1500</v>
      </c>
      <c r="H189" s="103">
        <v>4215</v>
      </c>
      <c r="I189" s="19">
        <f t="shared" si="69"/>
        <v>2715</v>
      </c>
      <c r="J189" s="42">
        <f t="shared" si="70"/>
        <v>2.81</v>
      </c>
    </row>
    <row r="190" spans="1:10" ht="23.1" customHeight="1">
      <c r="A190" s="100">
        <v>20</v>
      </c>
      <c r="B190" s="101" t="s">
        <v>302</v>
      </c>
      <c r="C190" s="103">
        <v>4</v>
      </c>
      <c r="D190" s="103">
        <v>2</v>
      </c>
      <c r="E190" s="19">
        <f t="shared" si="67"/>
        <v>-2</v>
      </c>
      <c r="F190" s="42">
        <f t="shared" si="68"/>
        <v>0.5</v>
      </c>
      <c r="G190" s="103">
        <v>4</v>
      </c>
      <c r="H190" s="103">
        <v>2</v>
      </c>
      <c r="I190" s="19">
        <f t="shared" si="69"/>
        <v>-2</v>
      </c>
      <c r="J190" s="42">
        <f t="shared" si="70"/>
        <v>0.5</v>
      </c>
    </row>
    <row r="191" spans="1:10" ht="23.1" customHeight="1">
      <c r="A191" s="100">
        <v>21</v>
      </c>
      <c r="B191" s="102" t="s">
        <v>142</v>
      </c>
      <c r="C191" s="103">
        <v>1690</v>
      </c>
      <c r="D191" s="103">
        <v>802</v>
      </c>
      <c r="E191" s="19">
        <f t="shared" si="67"/>
        <v>-888</v>
      </c>
      <c r="F191" s="42">
        <f t="shared" si="68"/>
        <v>0.47455621301775147</v>
      </c>
      <c r="G191" s="103">
        <v>1690</v>
      </c>
      <c r="H191" s="103">
        <v>802</v>
      </c>
      <c r="I191" s="19">
        <f t="shared" si="69"/>
        <v>-888</v>
      </c>
      <c r="J191" s="42">
        <f t="shared" si="70"/>
        <v>0.47455621301775147</v>
      </c>
    </row>
    <row r="192" spans="1:10" ht="23.1" customHeight="1">
      <c r="A192" s="17">
        <v>22</v>
      </c>
      <c r="B192" s="24" t="s">
        <v>39</v>
      </c>
      <c r="C192" s="40">
        <v>0</v>
      </c>
      <c r="D192" s="40">
        <v>0</v>
      </c>
      <c r="E192" s="19" t="str">
        <f t="shared" si="67"/>
        <v/>
      </c>
      <c r="F192" s="42" t="str">
        <f t="shared" si="68"/>
        <v/>
      </c>
      <c r="G192" s="40">
        <v>0</v>
      </c>
      <c r="H192" s="40">
        <v>0</v>
      </c>
      <c r="I192" s="19" t="str">
        <f t="shared" si="69"/>
        <v/>
      </c>
      <c r="J192" s="42" t="str">
        <f t="shared" si="70"/>
        <v/>
      </c>
    </row>
    <row r="193" spans="1:10" ht="23.1" customHeight="1">
      <c r="A193" s="17">
        <v>23</v>
      </c>
      <c r="B193" s="24" t="s">
        <v>40</v>
      </c>
      <c r="C193" s="40">
        <v>0</v>
      </c>
      <c r="D193" s="40">
        <v>0</v>
      </c>
      <c r="E193" s="19" t="str">
        <f t="shared" si="67"/>
        <v/>
      </c>
      <c r="F193" s="42" t="str">
        <f t="shared" si="68"/>
        <v/>
      </c>
      <c r="G193" s="40">
        <v>0</v>
      </c>
      <c r="H193" s="40">
        <v>0</v>
      </c>
      <c r="I193" s="19" t="str">
        <f t="shared" si="69"/>
        <v/>
      </c>
      <c r="J193" s="42" t="str">
        <f t="shared" si="70"/>
        <v/>
      </c>
    </row>
    <row r="194" spans="1:10" ht="23.1" customHeight="1">
      <c r="A194" s="17">
        <v>24</v>
      </c>
      <c r="B194" s="24" t="s">
        <v>143</v>
      </c>
      <c r="C194" s="40">
        <v>0</v>
      </c>
      <c r="D194" s="40">
        <v>0</v>
      </c>
      <c r="E194" s="19" t="str">
        <f t="shared" si="67"/>
        <v/>
      </c>
      <c r="F194" s="42" t="str">
        <f t="shared" si="68"/>
        <v/>
      </c>
      <c r="G194" s="40">
        <v>0</v>
      </c>
      <c r="H194" s="40">
        <v>0</v>
      </c>
      <c r="I194" s="19" t="str">
        <f t="shared" si="69"/>
        <v/>
      </c>
      <c r="J194" s="42" t="str">
        <f t="shared" si="70"/>
        <v/>
      </c>
    </row>
    <row r="195" spans="1:10" ht="23.1" customHeight="1">
      <c r="A195" s="17">
        <v>25</v>
      </c>
      <c r="B195" s="24" t="s">
        <v>42</v>
      </c>
      <c r="C195" s="40">
        <v>0</v>
      </c>
      <c r="D195" s="40">
        <v>0</v>
      </c>
      <c r="E195" s="19" t="str">
        <f t="shared" si="67"/>
        <v/>
      </c>
      <c r="F195" s="42" t="str">
        <f t="shared" si="68"/>
        <v/>
      </c>
      <c r="G195" s="40">
        <v>0</v>
      </c>
      <c r="H195" s="40">
        <v>0</v>
      </c>
      <c r="I195" s="19" t="str">
        <f t="shared" si="69"/>
        <v/>
      </c>
      <c r="J195" s="42" t="str">
        <f t="shared" si="70"/>
        <v/>
      </c>
    </row>
    <row r="196" spans="1:10" ht="23.1" customHeight="1">
      <c r="A196" s="17">
        <v>26</v>
      </c>
      <c r="B196" s="24" t="s">
        <v>43</v>
      </c>
      <c r="C196" s="40">
        <v>0</v>
      </c>
      <c r="D196" s="40">
        <v>0</v>
      </c>
      <c r="E196" s="19" t="str">
        <f t="shared" si="67"/>
        <v/>
      </c>
      <c r="F196" s="42" t="str">
        <f t="shared" si="68"/>
        <v/>
      </c>
      <c r="G196" s="40">
        <v>0</v>
      </c>
      <c r="H196" s="40">
        <v>0</v>
      </c>
      <c r="I196" s="19" t="str">
        <f t="shared" si="69"/>
        <v/>
      </c>
      <c r="J196" s="42" t="str">
        <f t="shared" si="70"/>
        <v/>
      </c>
    </row>
    <row r="197" spans="1:10" ht="23.1" customHeight="1">
      <c r="A197" s="17">
        <v>27</v>
      </c>
      <c r="B197" s="23" t="s">
        <v>166</v>
      </c>
      <c r="C197" s="40">
        <v>50</v>
      </c>
      <c r="D197" s="40">
        <v>55</v>
      </c>
      <c r="E197" s="19">
        <f t="shared" si="67"/>
        <v>5</v>
      </c>
      <c r="F197" s="42">
        <f t="shared" si="68"/>
        <v>1.1000000000000001</v>
      </c>
      <c r="G197" s="40">
        <v>50</v>
      </c>
      <c r="H197" s="40">
        <v>55</v>
      </c>
      <c r="I197" s="19">
        <f t="shared" si="69"/>
        <v>5</v>
      </c>
      <c r="J197" s="42">
        <f t="shared" si="70"/>
        <v>1.1000000000000001</v>
      </c>
    </row>
    <row r="198" spans="1:10" ht="23.1" customHeight="1">
      <c r="A198" s="17">
        <v>28</v>
      </c>
      <c r="B198" s="24" t="s">
        <v>37</v>
      </c>
      <c r="C198" s="40">
        <v>44</v>
      </c>
      <c r="D198" s="40">
        <v>41</v>
      </c>
      <c r="E198" s="19">
        <f t="shared" si="67"/>
        <v>-3</v>
      </c>
      <c r="F198" s="42">
        <f t="shared" si="68"/>
        <v>0.93181818181818177</v>
      </c>
      <c r="G198" s="40">
        <v>44</v>
      </c>
      <c r="H198" s="40">
        <v>41</v>
      </c>
      <c r="I198" s="19">
        <f t="shared" si="69"/>
        <v>-3</v>
      </c>
      <c r="J198" s="42">
        <f t="shared" si="70"/>
        <v>0.93181818181818177</v>
      </c>
    </row>
    <row r="199" spans="1:10" ht="23.1" customHeight="1">
      <c r="A199" s="17">
        <v>29</v>
      </c>
      <c r="B199" s="24" t="s">
        <v>38</v>
      </c>
      <c r="C199" s="40">
        <v>4</v>
      </c>
      <c r="D199" s="40">
        <v>9</v>
      </c>
      <c r="E199" s="19">
        <f t="shared" si="67"/>
        <v>5</v>
      </c>
      <c r="F199" s="42">
        <f t="shared" si="68"/>
        <v>2.25</v>
      </c>
      <c r="G199" s="40">
        <v>4</v>
      </c>
      <c r="H199" s="40">
        <v>9</v>
      </c>
      <c r="I199" s="19">
        <f t="shared" si="69"/>
        <v>5</v>
      </c>
      <c r="J199" s="42">
        <f t="shared" si="70"/>
        <v>2.25</v>
      </c>
    </row>
    <row r="200" spans="1:10" ht="23.1" customHeight="1">
      <c r="A200" s="17">
        <v>30</v>
      </c>
      <c r="B200" s="24" t="s">
        <v>40</v>
      </c>
      <c r="C200" s="40">
        <v>0</v>
      </c>
      <c r="D200" s="40">
        <v>4</v>
      </c>
      <c r="E200" s="19">
        <f t="shared" si="67"/>
        <v>4</v>
      </c>
      <c r="F200" s="42">
        <f t="shared" si="68"/>
        <v>4</v>
      </c>
      <c r="G200" s="40">
        <v>0</v>
      </c>
      <c r="H200" s="40">
        <v>4</v>
      </c>
      <c r="I200" s="19">
        <f t="shared" si="69"/>
        <v>4</v>
      </c>
      <c r="J200" s="42">
        <f t="shared" si="70"/>
        <v>4</v>
      </c>
    </row>
    <row r="201" spans="1:10" ht="23.1" customHeight="1">
      <c r="A201" s="17">
        <v>31</v>
      </c>
      <c r="B201" s="24" t="s">
        <v>41</v>
      </c>
      <c r="C201" s="40">
        <v>1</v>
      </c>
      <c r="D201" s="40">
        <v>1</v>
      </c>
      <c r="E201" s="19">
        <f t="shared" si="67"/>
        <v>0</v>
      </c>
      <c r="F201" s="42">
        <f t="shared" si="68"/>
        <v>1</v>
      </c>
      <c r="G201" s="40">
        <v>1</v>
      </c>
      <c r="H201" s="40">
        <v>1</v>
      </c>
      <c r="I201" s="19">
        <f t="shared" si="69"/>
        <v>0</v>
      </c>
      <c r="J201" s="42">
        <f t="shared" si="70"/>
        <v>1</v>
      </c>
    </row>
    <row r="202" spans="1:10" ht="23.1" customHeight="1">
      <c r="A202" s="17">
        <v>32</v>
      </c>
      <c r="B202" s="24" t="s">
        <v>39</v>
      </c>
      <c r="C202" s="40">
        <v>1</v>
      </c>
      <c r="D202" s="40">
        <v>0</v>
      </c>
      <c r="E202" s="19">
        <f t="shared" si="67"/>
        <v>-1</v>
      </c>
      <c r="F202" s="42">
        <f t="shared" si="68"/>
        <v>0</v>
      </c>
      <c r="G202" s="40">
        <v>1</v>
      </c>
      <c r="H202" s="40">
        <v>0</v>
      </c>
      <c r="I202" s="19">
        <f t="shared" si="69"/>
        <v>-1</v>
      </c>
      <c r="J202" s="42">
        <f t="shared" si="70"/>
        <v>0</v>
      </c>
    </row>
    <row r="203" spans="1:10" ht="23.1" customHeight="1">
      <c r="A203" s="17">
        <v>33</v>
      </c>
      <c r="B203" s="24" t="s">
        <v>44</v>
      </c>
      <c r="C203" s="40">
        <v>1269518.5</v>
      </c>
      <c r="D203" s="40">
        <v>1185658.3</v>
      </c>
      <c r="E203" s="19">
        <f t="shared" si="67"/>
        <v>-83860.199999999953</v>
      </c>
      <c r="F203" s="42">
        <f t="shared" si="68"/>
        <v>0.93394330212596355</v>
      </c>
      <c r="G203" s="40">
        <v>1269518.5</v>
      </c>
      <c r="H203" s="40">
        <v>694411.8</v>
      </c>
      <c r="I203" s="19">
        <f t="shared" si="69"/>
        <v>-575106.69999999995</v>
      </c>
      <c r="J203" s="42">
        <f t="shared" si="70"/>
        <v>0.54698832667661013</v>
      </c>
    </row>
    <row r="204" spans="1:10" ht="23.1" customHeight="1">
      <c r="A204" s="17">
        <v>34</v>
      </c>
      <c r="B204" s="24" t="s">
        <v>45</v>
      </c>
      <c r="C204" s="40">
        <v>1256868.5</v>
      </c>
      <c r="D204" s="40">
        <v>872994.4</v>
      </c>
      <c r="E204" s="19">
        <f t="shared" si="67"/>
        <v>-383874.1</v>
      </c>
      <c r="F204" s="42">
        <f t="shared" si="68"/>
        <v>0.69457894759873451</v>
      </c>
      <c r="G204" s="40">
        <v>1256868.5</v>
      </c>
      <c r="H204" s="40">
        <v>588075.1</v>
      </c>
      <c r="I204" s="19">
        <f t="shared" si="69"/>
        <v>-668793.4</v>
      </c>
      <c r="J204" s="42">
        <f t="shared" si="70"/>
        <v>0.46788912284777601</v>
      </c>
    </row>
    <row r="205" spans="1:10" ht="23.1" customHeight="1">
      <c r="A205" s="17">
        <v>35</v>
      </c>
      <c r="B205" s="24" t="s">
        <v>46</v>
      </c>
      <c r="C205" s="40">
        <v>0</v>
      </c>
      <c r="D205" s="40">
        <v>0</v>
      </c>
      <c r="E205" s="19" t="str">
        <f t="shared" si="67"/>
        <v/>
      </c>
      <c r="F205" s="42" t="str">
        <f t="shared" si="68"/>
        <v/>
      </c>
      <c r="G205" s="40">
        <v>0</v>
      </c>
      <c r="H205" s="40">
        <v>0</v>
      </c>
      <c r="I205" s="19" t="str">
        <f t="shared" si="69"/>
        <v/>
      </c>
      <c r="J205" s="42" t="str">
        <f t="shared" si="70"/>
        <v/>
      </c>
    </row>
    <row r="206" spans="1:10" ht="23.1" customHeight="1"/>
    <row r="207" spans="1:10" ht="15" customHeight="1">
      <c r="A207" s="140" t="s">
        <v>248</v>
      </c>
      <c r="B207" s="140"/>
      <c r="C207" s="140"/>
      <c r="D207" s="140"/>
      <c r="E207" s="140"/>
      <c r="F207" s="140"/>
      <c r="G207" s="140"/>
      <c r="H207" s="140"/>
      <c r="I207" s="140"/>
      <c r="J207" s="140"/>
    </row>
    <row r="208" spans="1:10" ht="15" customHeight="1">
      <c r="A208" s="139"/>
      <c r="B208" s="139"/>
      <c r="C208" s="139"/>
      <c r="D208" s="139"/>
      <c r="E208" s="139"/>
      <c r="F208" s="139"/>
      <c r="G208" s="139"/>
      <c r="H208" s="139"/>
      <c r="I208" s="139"/>
      <c r="J208" s="139"/>
    </row>
    <row r="209" spans="1:10" ht="50.1" customHeight="1">
      <c r="A209" s="19"/>
      <c r="B209" s="67" t="s">
        <v>30</v>
      </c>
      <c r="C209" s="67" t="str">
        <f>"Факт " &amp;$J2 &amp; " 2023 г"</f>
        <v>Факт Сентябрь 2023 г</v>
      </c>
      <c r="D209" s="67" t="str">
        <f xml:space="preserve"> "Факт " &amp;$J2&amp; " 2024 г"</f>
        <v>Факт Сентябрь 2024 г</v>
      </c>
      <c r="E209" s="147" t="s">
        <v>252</v>
      </c>
      <c r="F209" s="148"/>
      <c r="G209" s="67" t="str">
        <f xml:space="preserve"> "Факт Январь -" &amp;$J2&amp; " 2023 г"</f>
        <v>Факт Январь -Сентябрь 2023 г</v>
      </c>
      <c r="H209" s="67" t="str">
        <f xml:space="preserve"> "Факт Январь -" &amp;$J2&amp; " 2024 г"</f>
        <v>Факт Январь -Сентябрь 2024 г</v>
      </c>
      <c r="I209" s="147" t="s">
        <v>252</v>
      </c>
      <c r="J209" s="148"/>
    </row>
    <row r="210" spans="1:10" ht="57.75" customHeight="1">
      <c r="A210" s="30"/>
      <c r="B210" s="30"/>
      <c r="E210" s="28" t="s">
        <v>3</v>
      </c>
      <c r="F210" s="12" t="s">
        <v>4</v>
      </c>
      <c r="G210" s="30"/>
      <c r="H210" s="30"/>
      <c r="I210" s="28" t="s">
        <v>3</v>
      </c>
      <c r="J210" s="12" t="s">
        <v>4</v>
      </c>
    </row>
    <row r="211" spans="1:10" ht="20.25" customHeight="1">
      <c r="A211" s="18" t="s">
        <v>1</v>
      </c>
      <c r="B211" s="12" t="s">
        <v>12</v>
      </c>
      <c r="C211" s="12">
        <v>1</v>
      </c>
      <c r="D211" s="12">
        <v>2</v>
      </c>
      <c r="E211" s="12">
        <v>3</v>
      </c>
      <c r="F211" s="12">
        <v>4</v>
      </c>
      <c r="G211" s="12">
        <v>5</v>
      </c>
      <c r="H211" s="12">
        <v>6</v>
      </c>
      <c r="I211" s="12">
        <v>7</v>
      </c>
      <c r="J211" s="12">
        <v>8</v>
      </c>
    </row>
    <row r="212" spans="1:10" ht="23.1" customHeight="1">
      <c r="A212" s="105">
        <v>1</v>
      </c>
      <c r="B212" s="23" t="s">
        <v>278</v>
      </c>
      <c r="C212" s="107"/>
      <c r="D212" s="106"/>
      <c r="E212" s="19" t="str">
        <f t="shared" ref="E212:E246" si="71">IF(AND(C212=0,D212=0),"",IFERROR(IF(OR(D212=0,D212=""),-C212,D212-C212),""))</f>
        <v/>
      </c>
      <c r="F212" s="42" t="str">
        <f t="shared" ref="F212:F246" si="72">IF(AND(D212=0,C212=0),"",IFERROR(IF(C212=0, D212, D212/C212),""))</f>
        <v/>
      </c>
      <c r="G212" s="106"/>
      <c r="H212" s="106"/>
      <c r="I212" s="19" t="str">
        <f t="shared" ref="I212:I246" si="73">IF(AND(G212=0,H212=0),"",IFERROR(IF(OR(H212=0,H212=""),-G212,H212-G212),""))</f>
        <v/>
      </c>
      <c r="J212" s="42" t="str">
        <f t="shared" ref="J212:J246" si="74">IF(AND(H212=0,G212=0),"",IFERROR(IF(G212=0, H212, H212/G212),""))</f>
        <v/>
      </c>
    </row>
    <row r="213" spans="1:10" ht="23.1" customHeight="1">
      <c r="A213" s="105">
        <v>2</v>
      </c>
      <c r="B213" s="24" t="s">
        <v>32</v>
      </c>
      <c r="C213" s="106">
        <v>4</v>
      </c>
      <c r="D213" s="106">
        <v>5</v>
      </c>
      <c r="E213" s="19">
        <f t="shared" si="71"/>
        <v>1</v>
      </c>
      <c r="F213" s="42">
        <f t="shared" si="72"/>
        <v>1.25</v>
      </c>
      <c r="G213" s="106">
        <v>4</v>
      </c>
      <c r="H213" s="106">
        <v>5</v>
      </c>
      <c r="I213" s="19">
        <f t="shared" si="73"/>
        <v>1</v>
      </c>
      <c r="J213" s="42">
        <f t="shared" si="74"/>
        <v>1.25</v>
      </c>
    </row>
    <row r="214" spans="1:10" ht="23.1" customHeight="1">
      <c r="A214" s="105">
        <v>3</v>
      </c>
      <c r="B214" s="24" t="s">
        <v>162</v>
      </c>
      <c r="C214" s="106">
        <v>4</v>
      </c>
      <c r="D214" s="106">
        <v>7</v>
      </c>
      <c r="E214" s="19">
        <f t="shared" si="71"/>
        <v>3</v>
      </c>
      <c r="F214" s="42">
        <f t="shared" si="72"/>
        <v>1.75</v>
      </c>
      <c r="G214" s="106">
        <v>4</v>
      </c>
      <c r="H214" s="106">
        <v>7</v>
      </c>
      <c r="I214" s="19">
        <f t="shared" si="73"/>
        <v>3</v>
      </c>
      <c r="J214" s="42">
        <f t="shared" si="74"/>
        <v>1.75</v>
      </c>
    </row>
    <row r="215" spans="1:10" ht="23.1" customHeight="1">
      <c r="A215" s="105">
        <v>4</v>
      </c>
      <c r="B215" s="24" t="s">
        <v>163</v>
      </c>
      <c r="C215" s="106">
        <v>2</v>
      </c>
      <c r="D215" s="106">
        <v>4</v>
      </c>
      <c r="E215" s="19">
        <f t="shared" si="71"/>
        <v>2</v>
      </c>
      <c r="F215" s="42">
        <f t="shared" si="72"/>
        <v>2</v>
      </c>
      <c r="G215" s="106">
        <v>2</v>
      </c>
      <c r="H215" s="106">
        <v>4</v>
      </c>
      <c r="I215" s="19">
        <f t="shared" si="73"/>
        <v>2</v>
      </c>
      <c r="J215" s="42">
        <f t="shared" si="74"/>
        <v>2</v>
      </c>
    </row>
    <row r="216" spans="1:10" ht="23.1" customHeight="1">
      <c r="A216" s="105">
        <v>5</v>
      </c>
      <c r="B216" s="24" t="s">
        <v>164</v>
      </c>
      <c r="C216" s="106">
        <v>0</v>
      </c>
      <c r="D216" s="106">
        <v>0</v>
      </c>
      <c r="E216" s="19" t="str">
        <f t="shared" si="71"/>
        <v/>
      </c>
      <c r="F216" s="42" t="str">
        <f t="shared" si="72"/>
        <v/>
      </c>
      <c r="G216" s="106">
        <v>0</v>
      </c>
      <c r="H216" s="106">
        <v>0</v>
      </c>
      <c r="I216" s="19" t="str">
        <f t="shared" si="73"/>
        <v/>
      </c>
      <c r="J216" s="42" t="str">
        <f t="shared" si="74"/>
        <v/>
      </c>
    </row>
    <row r="217" spans="1:10" ht="23.1" customHeight="1">
      <c r="A217" s="105">
        <v>6</v>
      </c>
      <c r="B217" s="46" t="s">
        <v>165</v>
      </c>
      <c r="C217" s="106">
        <v>5</v>
      </c>
      <c r="D217" s="106">
        <v>8</v>
      </c>
      <c r="E217" s="19">
        <f t="shared" si="71"/>
        <v>3</v>
      </c>
      <c r="F217" s="42">
        <f t="shared" si="72"/>
        <v>1.6</v>
      </c>
      <c r="G217" s="106">
        <v>5</v>
      </c>
      <c r="H217" s="106">
        <v>8</v>
      </c>
      <c r="I217" s="19">
        <f t="shared" si="73"/>
        <v>3</v>
      </c>
      <c r="J217" s="42">
        <f t="shared" si="74"/>
        <v>1.6</v>
      </c>
    </row>
    <row r="218" spans="1:10" ht="23.1" customHeight="1">
      <c r="A218" s="100">
        <v>7</v>
      </c>
      <c r="B218" s="101" t="s">
        <v>33</v>
      </c>
      <c r="C218" s="103">
        <v>0</v>
      </c>
      <c r="D218" s="103">
        <v>0</v>
      </c>
      <c r="E218" s="19" t="str">
        <f t="shared" si="71"/>
        <v/>
      </c>
      <c r="F218" s="42" t="str">
        <f t="shared" si="72"/>
        <v/>
      </c>
      <c r="G218" s="103"/>
      <c r="H218" s="103"/>
      <c r="I218" s="19" t="str">
        <f t="shared" si="73"/>
        <v/>
      </c>
      <c r="J218" s="42" t="str">
        <f t="shared" si="74"/>
        <v/>
      </c>
    </row>
    <row r="219" spans="1:10" ht="23.1" customHeight="1">
      <c r="A219" s="100">
        <v>8</v>
      </c>
      <c r="B219" s="101" t="s">
        <v>141</v>
      </c>
      <c r="C219" s="103">
        <v>3</v>
      </c>
      <c r="D219" s="103">
        <v>4</v>
      </c>
      <c r="E219" s="19">
        <f t="shared" si="71"/>
        <v>1</v>
      </c>
      <c r="F219" s="42">
        <f t="shared" si="72"/>
        <v>1.3333333333333333</v>
      </c>
      <c r="G219" s="103">
        <v>3</v>
      </c>
      <c r="H219" s="103">
        <v>4</v>
      </c>
      <c r="I219" s="19">
        <f t="shared" si="73"/>
        <v>1</v>
      </c>
      <c r="J219" s="42">
        <f t="shared" si="74"/>
        <v>1.3333333333333333</v>
      </c>
    </row>
    <row r="220" spans="1:10" ht="23.1" customHeight="1">
      <c r="A220" s="100">
        <v>9</v>
      </c>
      <c r="B220" s="101" t="s">
        <v>37</v>
      </c>
      <c r="C220" s="103">
        <v>17</v>
      </c>
      <c r="D220" s="103">
        <v>9</v>
      </c>
      <c r="E220" s="19">
        <f t="shared" si="71"/>
        <v>-8</v>
      </c>
      <c r="F220" s="42">
        <f t="shared" si="72"/>
        <v>0.52941176470588236</v>
      </c>
      <c r="G220" s="103">
        <v>17</v>
      </c>
      <c r="H220" s="103">
        <v>9</v>
      </c>
      <c r="I220" s="19">
        <f t="shared" si="73"/>
        <v>-8</v>
      </c>
      <c r="J220" s="42">
        <f t="shared" si="74"/>
        <v>0.52941176470588236</v>
      </c>
    </row>
    <row r="221" spans="1:10" ht="23.1" customHeight="1">
      <c r="A221" s="100">
        <v>10</v>
      </c>
      <c r="B221" s="101" t="s">
        <v>38</v>
      </c>
      <c r="C221" s="103">
        <v>2</v>
      </c>
      <c r="D221" s="103">
        <v>1</v>
      </c>
      <c r="E221" s="19">
        <f t="shared" si="71"/>
        <v>-1</v>
      </c>
      <c r="F221" s="42">
        <f t="shared" si="72"/>
        <v>0.5</v>
      </c>
      <c r="G221" s="103">
        <v>2</v>
      </c>
      <c r="H221" s="103">
        <v>1</v>
      </c>
      <c r="I221" s="19">
        <f t="shared" si="73"/>
        <v>-1</v>
      </c>
      <c r="J221" s="42">
        <f t="shared" si="74"/>
        <v>0.5</v>
      </c>
    </row>
    <row r="222" spans="1:10" ht="23.1" customHeight="1">
      <c r="A222" s="100">
        <v>11</v>
      </c>
      <c r="B222" s="101" t="s">
        <v>142</v>
      </c>
      <c r="C222" s="103">
        <v>38201.99</v>
      </c>
      <c r="D222" s="103">
        <v>20569.3</v>
      </c>
      <c r="E222" s="19">
        <f t="shared" si="71"/>
        <v>-17632.689999999999</v>
      </c>
      <c r="F222" s="42">
        <f t="shared" si="72"/>
        <v>0.5384353014070733</v>
      </c>
      <c r="G222" s="103">
        <v>38201.99</v>
      </c>
      <c r="H222" s="103">
        <v>20569.3</v>
      </c>
      <c r="I222" s="19">
        <f t="shared" si="73"/>
        <v>-17632.689999999999</v>
      </c>
      <c r="J222" s="42">
        <f t="shared" si="74"/>
        <v>0.5384353014070733</v>
      </c>
    </row>
    <row r="223" spans="1:10" ht="23.1" customHeight="1">
      <c r="A223" s="100">
        <v>12</v>
      </c>
      <c r="B223" s="101" t="s">
        <v>39</v>
      </c>
      <c r="C223" s="103">
        <v>2</v>
      </c>
      <c r="D223" s="103">
        <v>2</v>
      </c>
      <c r="E223" s="19">
        <f t="shared" si="71"/>
        <v>0</v>
      </c>
      <c r="F223" s="42">
        <f t="shared" si="72"/>
        <v>1</v>
      </c>
      <c r="G223" s="103">
        <v>2</v>
      </c>
      <c r="H223" s="103">
        <v>2</v>
      </c>
      <c r="I223" s="19">
        <f t="shared" si="73"/>
        <v>0</v>
      </c>
      <c r="J223" s="42">
        <f t="shared" si="74"/>
        <v>1</v>
      </c>
    </row>
    <row r="224" spans="1:10" ht="23.1" customHeight="1">
      <c r="A224" s="100">
        <v>13</v>
      </c>
      <c r="B224" s="101" t="s">
        <v>142</v>
      </c>
      <c r="C224" s="103">
        <v>1986.4</v>
      </c>
      <c r="D224" s="103">
        <v>486.46</v>
      </c>
      <c r="E224" s="19">
        <f t="shared" si="71"/>
        <v>-1499.94</v>
      </c>
      <c r="F224" s="42">
        <f t="shared" si="72"/>
        <v>0.24489528795811516</v>
      </c>
      <c r="G224" s="103">
        <v>1986.4</v>
      </c>
      <c r="H224" s="103">
        <v>486.46</v>
      </c>
      <c r="I224" s="19">
        <f t="shared" si="73"/>
        <v>-1499.94</v>
      </c>
      <c r="J224" s="42">
        <f t="shared" si="74"/>
        <v>0.24489528795811516</v>
      </c>
    </row>
    <row r="225" spans="1:10" ht="23.1" customHeight="1">
      <c r="A225" s="100">
        <v>14</v>
      </c>
      <c r="B225" s="101" t="s">
        <v>40</v>
      </c>
      <c r="C225" s="103">
        <v>0</v>
      </c>
      <c r="D225" s="103">
        <v>1</v>
      </c>
      <c r="E225" s="19">
        <f t="shared" si="71"/>
        <v>1</v>
      </c>
      <c r="F225" s="42">
        <f t="shared" si="72"/>
        <v>1</v>
      </c>
      <c r="G225" s="103">
        <v>0</v>
      </c>
      <c r="H225" s="103">
        <v>1</v>
      </c>
      <c r="I225" s="19">
        <f t="shared" si="73"/>
        <v>1</v>
      </c>
      <c r="J225" s="42">
        <f t="shared" si="74"/>
        <v>1</v>
      </c>
    </row>
    <row r="226" spans="1:10" ht="23.1" customHeight="1">
      <c r="A226" s="100">
        <v>15</v>
      </c>
      <c r="B226" s="101" t="s">
        <v>142</v>
      </c>
      <c r="C226" s="103">
        <v>0</v>
      </c>
      <c r="D226" s="103">
        <v>486.46</v>
      </c>
      <c r="E226" s="19">
        <f t="shared" si="71"/>
        <v>486.46</v>
      </c>
      <c r="F226" s="42">
        <f t="shared" si="72"/>
        <v>486.46</v>
      </c>
      <c r="G226" s="103">
        <v>0</v>
      </c>
      <c r="H226" s="103">
        <v>486.46</v>
      </c>
      <c r="I226" s="19">
        <f t="shared" si="73"/>
        <v>486.46</v>
      </c>
      <c r="J226" s="42">
        <f t="shared" si="74"/>
        <v>486.46</v>
      </c>
    </row>
    <row r="227" spans="1:10" ht="23.1" customHeight="1">
      <c r="A227" s="100">
        <v>16</v>
      </c>
      <c r="B227" s="101" t="s">
        <v>143</v>
      </c>
      <c r="C227" s="103">
        <v>2</v>
      </c>
      <c r="D227" s="103">
        <v>1</v>
      </c>
      <c r="E227" s="19">
        <f t="shared" si="71"/>
        <v>-1</v>
      </c>
      <c r="F227" s="42">
        <f t="shared" si="72"/>
        <v>0.5</v>
      </c>
      <c r="G227" s="103">
        <v>2</v>
      </c>
      <c r="H227" s="103">
        <v>1</v>
      </c>
      <c r="I227" s="19">
        <f t="shared" si="73"/>
        <v>-1</v>
      </c>
      <c r="J227" s="42">
        <f t="shared" si="74"/>
        <v>0.5</v>
      </c>
    </row>
    <row r="228" spans="1:10" ht="23.1" customHeight="1">
      <c r="A228" s="100">
        <v>17</v>
      </c>
      <c r="B228" s="102" t="s">
        <v>142</v>
      </c>
      <c r="C228" s="103">
        <v>150000</v>
      </c>
      <c r="D228" s="103">
        <v>15000</v>
      </c>
      <c r="E228" s="19">
        <f t="shared" si="71"/>
        <v>-135000</v>
      </c>
      <c r="F228" s="42">
        <f t="shared" si="72"/>
        <v>0.1</v>
      </c>
      <c r="G228" s="103">
        <v>150000</v>
      </c>
      <c r="H228" s="103">
        <v>15000</v>
      </c>
      <c r="I228" s="19">
        <f t="shared" si="73"/>
        <v>-135000</v>
      </c>
      <c r="J228" s="42">
        <f t="shared" si="74"/>
        <v>0.1</v>
      </c>
    </row>
    <row r="229" spans="1:10" ht="23.1" customHeight="1">
      <c r="A229" s="100">
        <v>18</v>
      </c>
      <c r="B229" s="102" t="s">
        <v>42</v>
      </c>
      <c r="C229" s="103">
        <v>0</v>
      </c>
      <c r="D229" s="103">
        <v>1</v>
      </c>
      <c r="E229" s="19">
        <f t="shared" si="71"/>
        <v>1</v>
      </c>
      <c r="F229" s="42">
        <f t="shared" si="72"/>
        <v>1</v>
      </c>
      <c r="G229" s="103">
        <v>0</v>
      </c>
      <c r="H229" s="103">
        <v>1</v>
      </c>
      <c r="I229" s="19">
        <f t="shared" si="73"/>
        <v>1</v>
      </c>
      <c r="J229" s="42">
        <f t="shared" si="74"/>
        <v>1</v>
      </c>
    </row>
    <row r="230" spans="1:10" ht="23.1" customHeight="1">
      <c r="A230" s="100">
        <v>19</v>
      </c>
      <c r="B230" s="102" t="s">
        <v>142</v>
      </c>
      <c r="C230" s="103">
        <v>0</v>
      </c>
      <c r="D230" s="103">
        <v>301.60000000000002</v>
      </c>
      <c r="E230" s="19">
        <f t="shared" si="71"/>
        <v>301.60000000000002</v>
      </c>
      <c r="F230" s="42">
        <f t="shared" si="72"/>
        <v>301.60000000000002</v>
      </c>
      <c r="G230" s="103">
        <v>0</v>
      </c>
      <c r="H230" s="103">
        <v>301.60000000000002</v>
      </c>
      <c r="I230" s="19">
        <f t="shared" si="73"/>
        <v>301.60000000000002</v>
      </c>
      <c r="J230" s="42">
        <f t="shared" si="74"/>
        <v>301.60000000000002</v>
      </c>
    </row>
    <row r="231" spans="1:10" ht="23.1" customHeight="1">
      <c r="A231" s="100">
        <v>20</v>
      </c>
      <c r="B231" s="101" t="s">
        <v>302</v>
      </c>
      <c r="C231" s="103">
        <v>3</v>
      </c>
      <c r="D231" s="103">
        <v>2</v>
      </c>
      <c r="E231" s="19">
        <f t="shared" si="71"/>
        <v>-1</v>
      </c>
      <c r="F231" s="42">
        <f t="shared" si="72"/>
        <v>0.66666666666666663</v>
      </c>
      <c r="G231" s="103">
        <v>3</v>
      </c>
      <c r="H231" s="103">
        <v>2</v>
      </c>
      <c r="I231" s="19">
        <f t="shared" si="73"/>
        <v>-1</v>
      </c>
      <c r="J231" s="42">
        <f t="shared" si="74"/>
        <v>0.66666666666666663</v>
      </c>
    </row>
    <row r="232" spans="1:10" ht="23.1" customHeight="1">
      <c r="A232" s="100">
        <v>21</v>
      </c>
      <c r="B232" s="102" t="s">
        <v>142</v>
      </c>
      <c r="C232" s="103">
        <v>2288</v>
      </c>
      <c r="D232" s="103">
        <v>0</v>
      </c>
      <c r="E232" s="19">
        <f t="shared" si="71"/>
        <v>-2288</v>
      </c>
      <c r="F232" s="42">
        <f t="shared" si="72"/>
        <v>0</v>
      </c>
      <c r="G232" s="103">
        <v>2288</v>
      </c>
      <c r="H232" s="103">
        <v>0</v>
      </c>
      <c r="I232" s="19">
        <f t="shared" si="73"/>
        <v>-2288</v>
      </c>
      <c r="J232" s="42">
        <f t="shared" si="74"/>
        <v>0</v>
      </c>
    </row>
    <row r="233" spans="1:10" ht="23.1" customHeight="1">
      <c r="A233" s="17">
        <v>22</v>
      </c>
      <c r="B233" s="24" t="s">
        <v>39</v>
      </c>
      <c r="C233" s="40">
        <v>0</v>
      </c>
      <c r="D233" s="40">
        <v>0</v>
      </c>
      <c r="E233" s="19" t="str">
        <f t="shared" si="71"/>
        <v/>
      </c>
      <c r="F233" s="42" t="str">
        <f t="shared" si="72"/>
        <v/>
      </c>
      <c r="G233" s="40">
        <v>0</v>
      </c>
      <c r="H233" s="40">
        <v>0</v>
      </c>
      <c r="I233" s="19" t="str">
        <f t="shared" si="73"/>
        <v/>
      </c>
      <c r="J233" s="42" t="str">
        <f t="shared" si="74"/>
        <v/>
      </c>
    </row>
    <row r="234" spans="1:10" ht="23.1" customHeight="1">
      <c r="A234" s="17">
        <v>23</v>
      </c>
      <c r="B234" s="24" t="s">
        <v>40</v>
      </c>
      <c r="C234" s="40">
        <v>0</v>
      </c>
      <c r="D234" s="40">
        <v>0</v>
      </c>
      <c r="E234" s="19" t="str">
        <f t="shared" si="71"/>
        <v/>
      </c>
      <c r="F234" s="42" t="str">
        <f t="shared" si="72"/>
        <v/>
      </c>
      <c r="G234" s="40">
        <v>0</v>
      </c>
      <c r="H234" s="40">
        <v>0</v>
      </c>
      <c r="I234" s="19" t="str">
        <f t="shared" si="73"/>
        <v/>
      </c>
      <c r="J234" s="42" t="str">
        <f t="shared" si="74"/>
        <v/>
      </c>
    </row>
    <row r="235" spans="1:10" ht="23.1" customHeight="1">
      <c r="A235" s="17">
        <v>24</v>
      </c>
      <c r="B235" s="24" t="s">
        <v>143</v>
      </c>
      <c r="C235" s="40">
        <v>0</v>
      </c>
      <c r="D235" s="40">
        <v>0</v>
      </c>
      <c r="E235" s="19" t="str">
        <f t="shared" si="71"/>
        <v/>
      </c>
      <c r="F235" s="42" t="str">
        <f t="shared" si="72"/>
        <v/>
      </c>
      <c r="G235" s="40">
        <v>0</v>
      </c>
      <c r="H235" s="40">
        <v>0</v>
      </c>
      <c r="I235" s="19" t="str">
        <f t="shared" si="73"/>
        <v/>
      </c>
      <c r="J235" s="42" t="str">
        <f t="shared" si="74"/>
        <v/>
      </c>
    </row>
    <row r="236" spans="1:10" ht="23.1" customHeight="1">
      <c r="A236" s="17">
        <v>25</v>
      </c>
      <c r="B236" s="24" t="s">
        <v>42</v>
      </c>
      <c r="C236" s="40">
        <v>0</v>
      </c>
      <c r="D236" s="40">
        <v>0</v>
      </c>
      <c r="E236" s="19" t="str">
        <f t="shared" si="71"/>
        <v/>
      </c>
      <c r="F236" s="42" t="str">
        <f t="shared" si="72"/>
        <v/>
      </c>
      <c r="G236" s="40">
        <v>0</v>
      </c>
      <c r="H236" s="40">
        <v>0</v>
      </c>
      <c r="I236" s="19" t="str">
        <f t="shared" si="73"/>
        <v/>
      </c>
      <c r="J236" s="42" t="str">
        <f t="shared" si="74"/>
        <v/>
      </c>
    </row>
    <row r="237" spans="1:10" ht="23.1" customHeight="1">
      <c r="A237" s="17">
        <v>26</v>
      </c>
      <c r="B237" s="24" t="s">
        <v>43</v>
      </c>
      <c r="C237" s="40">
        <v>0</v>
      </c>
      <c r="D237" s="40">
        <v>0</v>
      </c>
      <c r="E237" s="19" t="str">
        <f t="shared" si="71"/>
        <v/>
      </c>
      <c r="F237" s="42" t="str">
        <f t="shared" si="72"/>
        <v/>
      </c>
      <c r="G237" s="40">
        <v>0</v>
      </c>
      <c r="H237" s="40">
        <v>0</v>
      </c>
      <c r="I237" s="19" t="str">
        <f t="shared" si="73"/>
        <v/>
      </c>
      <c r="J237" s="42" t="str">
        <f t="shared" si="74"/>
        <v/>
      </c>
    </row>
    <row r="238" spans="1:10" ht="23.1" customHeight="1">
      <c r="A238" s="17">
        <v>27</v>
      </c>
      <c r="B238" s="23" t="s">
        <v>166</v>
      </c>
      <c r="C238" s="40">
        <v>13</v>
      </c>
      <c r="D238" s="40">
        <v>14</v>
      </c>
      <c r="E238" s="19">
        <f t="shared" si="71"/>
        <v>1</v>
      </c>
      <c r="F238" s="42">
        <f t="shared" si="72"/>
        <v>1.0769230769230769</v>
      </c>
      <c r="G238" s="40">
        <v>13</v>
      </c>
      <c r="H238" s="40">
        <v>14</v>
      </c>
      <c r="I238" s="19">
        <f t="shared" si="73"/>
        <v>1</v>
      </c>
      <c r="J238" s="42">
        <f t="shared" si="74"/>
        <v>1.0769230769230769</v>
      </c>
    </row>
    <row r="239" spans="1:10" ht="23.1" customHeight="1">
      <c r="A239" s="17">
        <v>28</v>
      </c>
      <c r="B239" s="24" t="s">
        <v>37</v>
      </c>
      <c r="C239" s="40">
        <v>12</v>
      </c>
      <c r="D239" s="40">
        <v>12</v>
      </c>
      <c r="E239" s="19">
        <f t="shared" si="71"/>
        <v>0</v>
      </c>
      <c r="F239" s="42">
        <f t="shared" si="72"/>
        <v>1</v>
      </c>
      <c r="G239" s="40">
        <v>1</v>
      </c>
      <c r="H239" s="40">
        <v>1</v>
      </c>
      <c r="I239" s="19">
        <f t="shared" si="73"/>
        <v>0</v>
      </c>
      <c r="J239" s="42">
        <f t="shared" si="74"/>
        <v>1</v>
      </c>
    </row>
    <row r="240" spans="1:10" ht="23.1" customHeight="1">
      <c r="A240" s="17">
        <v>29</v>
      </c>
      <c r="B240" s="24" t="s">
        <v>38</v>
      </c>
      <c r="C240" s="40">
        <v>1</v>
      </c>
      <c r="D240" s="40">
        <v>1</v>
      </c>
      <c r="E240" s="19">
        <f t="shared" si="71"/>
        <v>0</v>
      </c>
      <c r="F240" s="42">
        <f t="shared" si="72"/>
        <v>1</v>
      </c>
      <c r="G240" s="40">
        <v>1</v>
      </c>
      <c r="H240" s="40">
        <v>1</v>
      </c>
      <c r="I240" s="19">
        <f t="shared" si="73"/>
        <v>0</v>
      </c>
      <c r="J240" s="42">
        <f t="shared" si="74"/>
        <v>1</v>
      </c>
    </row>
    <row r="241" spans="1:10" ht="23.1" customHeight="1">
      <c r="A241" s="17">
        <v>30</v>
      </c>
      <c r="B241" s="24" t="s">
        <v>40</v>
      </c>
      <c r="C241" s="40">
        <v>0</v>
      </c>
      <c r="D241" s="40">
        <v>0</v>
      </c>
      <c r="E241" s="19" t="str">
        <f t="shared" si="71"/>
        <v/>
      </c>
      <c r="F241" s="42" t="str">
        <f t="shared" si="72"/>
        <v/>
      </c>
      <c r="G241" s="40">
        <v>0</v>
      </c>
      <c r="H241" s="40">
        <v>0</v>
      </c>
      <c r="I241" s="19" t="str">
        <f t="shared" si="73"/>
        <v/>
      </c>
      <c r="J241" s="42" t="str">
        <f t="shared" si="74"/>
        <v/>
      </c>
    </row>
    <row r="242" spans="1:10" ht="23.1" customHeight="1">
      <c r="A242" s="17">
        <v>31</v>
      </c>
      <c r="B242" s="24" t="s">
        <v>41</v>
      </c>
      <c r="C242" s="40">
        <v>0</v>
      </c>
      <c r="D242" s="40">
        <v>1</v>
      </c>
      <c r="E242" s="19">
        <f t="shared" si="71"/>
        <v>1</v>
      </c>
      <c r="F242" s="42">
        <f t="shared" si="72"/>
        <v>1</v>
      </c>
      <c r="G242" s="40">
        <v>0</v>
      </c>
      <c r="H242" s="40">
        <v>1</v>
      </c>
      <c r="I242" s="19">
        <f t="shared" si="73"/>
        <v>1</v>
      </c>
      <c r="J242" s="42">
        <f t="shared" si="74"/>
        <v>1</v>
      </c>
    </row>
    <row r="243" spans="1:10" ht="23.1" customHeight="1">
      <c r="A243" s="17">
        <v>32</v>
      </c>
      <c r="B243" s="24" t="s">
        <v>39</v>
      </c>
      <c r="C243" s="40">
        <v>0</v>
      </c>
      <c r="D243" s="40">
        <v>0</v>
      </c>
      <c r="E243" s="19" t="str">
        <f t="shared" si="71"/>
        <v/>
      </c>
      <c r="F243" s="42" t="str">
        <f t="shared" si="72"/>
        <v/>
      </c>
      <c r="G243" s="40">
        <v>0</v>
      </c>
      <c r="H243" s="40">
        <v>0</v>
      </c>
      <c r="I243" s="19" t="str">
        <f t="shared" si="73"/>
        <v/>
      </c>
      <c r="J243" s="42" t="str">
        <f t="shared" si="74"/>
        <v/>
      </c>
    </row>
    <row r="244" spans="1:10" ht="23.1" customHeight="1">
      <c r="A244" s="17">
        <v>33</v>
      </c>
      <c r="B244" s="24" t="s">
        <v>44</v>
      </c>
      <c r="C244" s="40">
        <v>333624.09999999998</v>
      </c>
      <c r="D244" s="40">
        <v>353832.8</v>
      </c>
      <c r="E244" s="19">
        <f t="shared" si="71"/>
        <v>20208.700000000012</v>
      </c>
      <c r="F244" s="42">
        <f t="shared" si="72"/>
        <v>1.0605732619436066</v>
      </c>
      <c r="G244" s="40">
        <v>333624.09999999998</v>
      </c>
      <c r="H244" s="40">
        <v>210697</v>
      </c>
      <c r="I244" s="19">
        <f t="shared" si="73"/>
        <v>-122927.09999999998</v>
      </c>
      <c r="J244" s="42">
        <f t="shared" si="74"/>
        <v>0.63154010756417178</v>
      </c>
    </row>
    <row r="245" spans="1:10" ht="23.1" customHeight="1">
      <c r="A245" s="17">
        <v>34</v>
      </c>
      <c r="B245" s="24" t="s">
        <v>45</v>
      </c>
      <c r="C245" s="40">
        <v>331712.7</v>
      </c>
      <c r="D245" s="40">
        <v>306489</v>
      </c>
      <c r="E245" s="19">
        <f t="shared" si="71"/>
        <v>-25223.700000000012</v>
      </c>
      <c r="F245" s="42">
        <f t="shared" si="72"/>
        <v>0.92395919722096864</v>
      </c>
      <c r="G245" s="40">
        <v>331712.7</v>
      </c>
      <c r="H245" s="40">
        <v>181339.2</v>
      </c>
      <c r="I245" s="19">
        <f t="shared" si="73"/>
        <v>-150373.5</v>
      </c>
      <c r="J245" s="42">
        <f t="shared" si="74"/>
        <v>0.54667548152361967</v>
      </c>
    </row>
    <row r="246" spans="1:10" ht="23.1" customHeight="1">
      <c r="A246" s="17">
        <v>35</v>
      </c>
      <c r="B246" s="24" t="s">
        <v>46</v>
      </c>
      <c r="C246" s="40">
        <v>0</v>
      </c>
      <c r="D246" s="40">
        <v>0</v>
      </c>
      <c r="E246" s="19" t="str">
        <f t="shared" si="71"/>
        <v/>
      </c>
      <c r="F246" s="42" t="str">
        <f t="shared" si="72"/>
        <v/>
      </c>
      <c r="G246" s="40">
        <v>0</v>
      </c>
      <c r="H246" s="40">
        <v>0</v>
      </c>
      <c r="I246" s="19" t="str">
        <f t="shared" si="73"/>
        <v/>
      </c>
      <c r="J246" s="42" t="str">
        <f t="shared" si="74"/>
        <v/>
      </c>
    </row>
    <row r="247" spans="1:10" ht="23.1" customHeight="1"/>
    <row r="248" spans="1:10" ht="15" customHeight="1">
      <c r="A248" s="140" t="s">
        <v>249</v>
      </c>
      <c r="B248" s="140"/>
      <c r="C248" s="140"/>
      <c r="D248" s="140"/>
      <c r="E248" s="140"/>
      <c r="F248" s="140"/>
      <c r="G248" s="140"/>
      <c r="H248" s="140"/>
      <c r="I248" s="140"/>
      <c r="J248" s="140"/>
    </row>
    <row r="249" spans="1:10" ht="15" customHeight="1">
      <c r="A249" s="139"/>
      <c r="B249" s="139"/>
      <c r="C249" s="139"/>
      <c r="D249" s="139"/>
      <c r="E249" s="139"/>
      <c r="F249" s="139"/>
      <c r="G249" s="139"/>
      <c r="H249" s="139"/>
      <c r="I249" s="139"/>
      <c r="J249" s="139"/>
    </row>
    <row r="250" spans="1:10" ht="50.1" customHeight="1">
      <c r="A250" s="19"/>
      <c r="B250" s="67" t="s">
        <v>30</v>
      </c>
      <c r="C250" s="67" t="str">
        <f>"Факт " &amp;$J2 &amp; " 2023 г"</f>
        <v>Факт Сентябрь 2023 г</v>
      </c>
      <c r="D250" s="67" t="str">
        <f xml:space="preserve"> "Факт " &amp;$J2&amp; " 2024 г"</f>
        <v>Факт Сентябрь 2024 г</v>
      </c>
      <c r="E250" s="147" t="s">
        <v>252</v>
      </c>
      <c r="F250" s="148"/>
      <c r="G250" s="67" t="str">
        <f xml:space="preserve"> "Факт Январь -" &amp;$J2&amp; " 2023 г"</f>
        <v>Факт Январь -Сентябрь 2023 г</v>
      </c>
      <c r="H250" s="67" t="str">
        <f xml:space="preserve"> "Факт Январь -" &amp;$J2&amp; " 2024 г"</f>
        <v>Факт Январь -Сентябрь 2024 г</v>
      </c>
      <c r="I250" s="147" t="s">
        <v>252</v>
      </c>
      <c r="J250" s="148"/>
    </row>
    <row r="251" spans="1:10" ht="57.75" customHeight="1">
      <c r="A251" s="30"/>
      <c r="B251" s="30"/>
      <c r="E251" s="28" t="s">
        <v>3</v>
      </c>
      <c r="F251" s="12" t="s">
        <v>4</v>
      </c>
      <c r="G251" s="30"/>
      <c r="H251" s="30"/>
      <c r="I251" s="28" t="s">
        <v>3</v>
      </c>
      <c r="J251" s="12" t="s">
        <v>4</v>
      </c>
    </row>
    <row r="252" spans="1:10" ht="20.25" customHeight="1">
      <c r="A252" s="18" t="s">
        <v>1</v>
      </c>
      <c r="B252" s="12" t="s">
        <v>12</v>
      </c>
      <c r="C252" s="12">
        <v>1</v>
      </c>
      <c r="D252" s="12">
        <v>2</v>
      </c>
      <c r="E252" s="12">
        <v>3</v>
      </c>
      <c r="F252" s="12">
        <v>4</v>
      </c>
      <c r="G252" s="12">
        <v>5</v>
      </c>
      <c r="H252" s="12">
        <v>6</v>
      </c>
      <c r="I252" s="12">
        <v>7</v>
      </c>
      <c r="J252" s="12">
        <v>8</v>
      </c>
    </row>
    <row r="253" spans="1:10" ht="23.1" customHeight="1">
      <c r="A253" s="17">
        <v>1</v>
      </c>
      <c r="B253" s="23" t="s">
        <v>278</v>
      </c>
      <c r="C253" s="41"/>
      <c r="D253" s="40"/>
      <c r="E253" s="19" t="str">
        <f t="shared" ref="E253:E287" si="75">IF(AND(C253=0,D253=0),"",IFERROR(IF(OR(D253=0,D253=""),-C253,D253-C253),""))</f>
        <v/>
      </c>
      <c r="F253" s="42" t="str">
        <f t="shared" ref="F253:F287" si="76">IF(AND(D253=0,C253=0),"",IFERROR(IF(C253=0, D253, D253/C253),""))</f>
        <v/>
      </c>
      <c r="G253" s="40"/>
      <c r="H253" s="40"/>
      <c r="I253" s="19" t="str">
        <f t="shared" ref="I253:I287" si="77">IF(AND(G253=0,H253=0),"",IFERROR(IF(OR(H253=0,H253=""),-G253,H253-G253),""))</f>
        <v/>
      </c>
      <c r="J253" s="42" t="str">
        <f t="shared" ref="J253:J287" si="78">IF(AND(H253=0,G253=0),"",IFERROR(IF(G253=0, H253, H253/G253),""))</f>
        <v/>
      </c>
    </row>
    <row r="254" spans="1:10" ht="23.1" customHeight="1">
      <c r="A254" s="17">
        <v>2</v>
      </c>
      <c r="B254" s="24" t="s">
        <v>32</v>
      </c>
      <c r="C254" s="40">
        <v>7</v>
      </c>
      <c r="D254" s="40">
        <v>28</v>
      </c>
      <c r="E254" s="19">
        <f t="shared" si="75"/>
        <v>21</v>
      </c>
      <c r="F254" s="42">
        <f t="shared" si="76"/>
        <v>4</v>
      </c>
      <c r="G254" s="40">
        <v>7</v>
      </c>
      <c r="H254" s="40">
        <v>28</v>
      </c>
      <c r="I254" s="19">
        <f t="shared" si="77"/>
        <v>21</v>
      </c>
      <c r="J254" s="42">
        <f t="shared" si="78"/>
        <v>4</v>
      </c>
    </row>
    <row r="255" spans="1:10" ht="23.1" customHeight="1">
      <c r="A255" s="17">
        <v>3</v>
      </c>
      <c r="B255" s="24" t="s">
        <v>162</v>
      </c>
      <c r="C255" s="40">
        <v>3</v>
      </c>
      <c r="D255" s="40">
        <v>0</v>
      </c>
      <c r="E255" s="19">
        <f t="shared" si="75"/>
        <v>-3</v>
      </c>
      <c r="F255" s="42">
        <f t="shared" si="76"/>
        <v>0</v>
      </c>
      <c r="G255" s="40">
        <v>3</v>
      </c>
      <c r="H255" s="40">
        <v>0</v>
      </c>
      <c r="I255" s="19">
        <f t="shared" si="77"/>
        <v>-3</v>
      </c>
      <c r="J255" s="42">
        <f t="shared" si="78"/>
        <v>0</v>
      </c>
    </row>
    <row r="256" spans="1:10" ht="23.1" customHeight="1">
      <c r="A256" s="17">
        <v>4</v>
      </c>
      <c r="B256" s="24" t="s">
        <v>163</v>
      </c>
      <c r="C256" s="40">
        <v>2</v>
      </c>
      <c r="D256" s="40">
        <v>4</v>
      </c>
      <c r="E256" s="19">
        <f t="shared" si="75"/>
        <v>2</v>
      </c>
      <c r="F256" s="42">
        <f t="shared" si="76"/>
        <v>2</v>
      </c>
      <c r="G256" s="40">
        <v>2</v>
      </c>
      <c r="H256" s="40">
        <v>4</v>
      </c>
      <c r="I256" s="19">
        <f t="shared" si="77"/>
        <v>2</v>
      </c>
      <c r="J256" s="42">
        <f t="shared" si="78"/>
        <v>2</v>
      </c>
    </row>
    <row r="257" spans="1:10" ht="23.1" customHeight="1">
      <c r="A257" s="17">
        <v>5</v>
      </c>
      <c r="B257" s="24" t="s">
        <v>164</v>
      </c>
      <c r="C257" s="40">
        <v>0</v>
      </c>
      <c r="D257" s="40">
        <v>0</v>
      </c>
      <c r="E257" s="19" t="str">
        <f t="shared" si="75"/>
        <v/>
      </c>
      <c r="F257" s="42" t="str">
        <f t="shared" si="76"/>
        <v/>
      </c>
      <c r="G257" s="40">
        <v>0</v>
      </c>
      <c r="H257" s="40">
        <v>0</v>
      </c>
      <c r="I257" s="19" t="str">
        <f t="shared" si="77"/>
        <v/>
      </c>
      <c r="J257" s="42" t="str">
        <f t="shared" si="78"/>
        <v/>
      </c>
    </row>
    <row r="258" spans="1:10" ht="23.1" customHeight="1">
      <c r="A258" s="17">
        <v>6</v>
      </c>
      <c r="B258" s="46" t="s">
        <v>165</v>
      </c>
      <c r="C258" s="40">
        <v>11</v>
      </c>
      <c r="D258" s="40">
        <v>2</v>
      </c>
      <c r="E258" s="19">
        <f t="shared" si="75"/>
        <v>-9</v>
      </c>
      <c r="F258" s="42">
        <f t="shared" si="76"/>
        <v>0.18181818181818182</v>
      </c>
      <c r="G258" s="40">
        <v>11</v>
      </c>
      <c r="H258" s="40">
        <v>2</v>
      </c>
      <c r="I258" s="19">
        <f t="shared" si="77"/>
        <v>-9</v>
      </c>
      <c r="J258" s="42">
        <f t="shared" si="78"/>
        <v>0.18181818181818182</v>
      </c>
    </row>
    <row r="259" spans="1:10" ht="23.1" customHeight="1">
      <c r="A259" s="100">
        <v>7</v>
      </c>
      <c r="B259" s="101" t="s">
        <v>33</v>
      </c>
      <c r="C259" s="103">
        <v>0</v>
      </c>
      <c r="D259" s="103">
        <v>0</v>
      </c>
      <c r="E259" s="19" t="str">
        <f t="shared" si="75"/>
        <v/>
      </c>
      <c r="F259" s="42" t="str">
        <f t="shared" si="76"/>
        <v/>
      </c>
      <c r="G259" s="103">
        <v>0</v>
      </c>
      <c r="H259" s="103">
        <v>0</v>
      </c>
      <c r="I259" s="19" t="str">
        <f t="shared" si="77"/>
        <v/>
      </c>
      <c r="J259" s="42" t="str">
        <f t="shared" si="78"/>
        <v/>
      </c>
    </row>
    <row r="260" spans="1:10" ht="23.1" customHeight="1">
      <c r="A260" s="100">
        <v>8</v>
      </c>
      <c r="B260" s="101" t="s">
        <v>141</v>
      </c>
      <c r="C260" s="103">
        <v>10</v>
      </c>
      <c r="D260" s="103">
        <v>6</v>
      </c>
      <c r="E260" s="19">
        <f t="shared" si="75"/>
        <v>-4</v>
      </c>
      <c r="F260" s="42">
        <f t="shared" si="76"/>
        <v>0.6</v>
      </c>
      <c r="G260" s="103">
        <v>10</v>
      </c>
      <c r="H260" s="103">
        <v>6</v>
      </c>
      <c r="I260" s="19">
        <f t="shared" si="77"/>
        <v>-4</v>
      </c>
      <c r="J260" s="42">
        <f t="shared" si="78"/>
        <v>0.6</v>
      </c>
    </row>
    <row r="261" spans="1:10" ht="23.1" customHeight="1">
      <c r="A261" s="100">
        <v>9</v>
      </c>
      <c r="B261" s="101" t="s">
        <v>37</v>
      </c>
      <c r="C261" s="103">
        <v>14</v>
      </c>
      <c r="D261" s="103">
        <v>11</v>
      </c>
      <c r="E261" s="19">
        <f t="shared" si="75"/>
        <v>-3</v>
      </c>
      <c r="F261" s="42">
        <f t="shared" si="76"/>
        <v>0.7857142857142857</v>
      </c>
      <c r="G261" s="103">
        <v>14</v>
      </c>
      <c r="H261" s="103">
        <v>11</v>
      </c>
      <c r="I261" s="19">
        <f t="shared" si="77"/>
        <v>-3</v>
      </c>
      <c r="J261" s="42">
        <f t="shared" si="78"/>
        <v>0.7857142857142857</v>
      </c>
    </row>
    <row r="262" spans="1:10" ht="23.1" customHeight="1">
      <c r="A262" s="100">
        <v>10</v>
      </c>
      <c r="B262" s="101" t="s">
        <v>38</v>
      </c>
      <c r="C262" s="103">
        <v>5</v>
      </c>
      <c r="D262" s="103">
        <v>5</v>
      </c>
      <c r="E262" s="19">
        <f t="shared" si="75"/>
        <v>0</v>
      </c>
      <c r="F262" s="42">
        <f t="shared" si="76"/>
        <v>1</v>
      </c>
      <c r="G262" s="103">
        <v>5</v>
      </c>
      <c r="H262" s="103">
        <v>5</v>
      </c>
      <c r="I262" s="19">
        <f t="shared" si="77"/>
        <v>0</v>
      </c>
      <c r="J262" s="42">
        <f t="shared" si="78"/>
        <v>1</v>
      </c>
    </row>
    <row r="263" spans="1:10" ht="23.1" customHeight="1">
      <c r="A263" s="100">
        <v>11</v>
      </c>
      <c r="B263" s="101" t="s">
        <v>142</v>
      </c>
      <c r="C263" s="103">
        <v>43070.47</v>
      </c>
      <c r="D263" s="103">
        <v>26703.599999999999</v>
      </c>
      <c r="E263" s="19">
        <f t="shared" si="75"/>
        <v>-16366.870000000003</v>
      </c>
      <c r="F263" s="42">
        <f t="shared" si="76"/>
        <v>0.61999787789638694</v>
      </c>
      <c r="G263" s="103">
        <v>43070.47</v>
      </c>
      <c r="H263" s="103">
        <v>26703.599999999999</v>
      </c>
      <c r="I263" s="19">
        <f t="shared" si="77"/>
        <v>-16366.870000000003</v>
      </c>
      <c r="J263" s="42">
        <f t="shared" si="78"/>
        <v>0.61999787789638694</v>
      </c>
    </row>
    <row r="264" spans="1:10" ht="23.1" customHeight="1">
      <c r="A264" s="100">
        <v>12</v>
      </c>
      <c r="B264" s="101" t="s">
        <v>39</v>
      </c>
      <c r="C264" s="103">
        <v>5</v>
      </c>
      <c r="D264" s="103">
        <v>6</v>
      </c>
      <c r="E264" s="19">
        <f t="shared" si="75"/>
        <v>1</v>
      </c>
      <c r="F264" s="42">
        <f t="shared" si="76"/>
        <v>1.2</v>
      </c>
      <c r="G264" s="103">
        <v>5</v>
      </c>
      <c r="H264" s="103">
        <v>6</v>
      </c>
      <c r="I264" s="19">
        <f t="shared" si="77"/>
        <v>1</v>
      </c>
      <c r="J264" s="42">
        <f t="shared" si="78"/>
        <v>1.2</v>
      </c>
    </row>
    <row r="265" spans="1:10" ht="23.1" customHeight="1">
      <c r="A265" s="100">
        <v>13</v>
      </c>
      <c r="B265" s="101" t="s">
        <v>142</v>
      </c>
      <c r="C265" s="103">
        <v>1414.48</v>
      </c>
      <c r="D265" s="103">
        <v>20443.2</v>
      </c>
      <c r="E265" s="19">
        <f t="shared" si="75"/>
        <v>19028.72</v>
      </c>
      <c r="F265" s="42">
        <f t="shared" si="76"/>
        <v>14.452802443300719</v>
      </c>
      <c r="G265" s="103">
        <v>1414.48</v>
      </c>
      <c r="H265" s="103">
        <v>20443.2</v>
      </c>
      <c r="I265" s="19">
        <f t="shared" si="77"/>
        <v>19028.72</v>
      </c>
      <c r="J265" s="42">
        <f t="shared" si="78"/>
        <v>14.452802443300719</v>
      </c>
    </row>
    <row r="266" spans="1:10" ht="23.1" customHeight="1">
      <c r="A266" s="100">
        <v>14</v>
      </c>
      <c r="B266" s="101" t="s">
        <v>40</v>
      </c>
      <c r="C266" s="103">
        <v>1</v>
      </c>
      <c r="D266" s="103">
        <v>2</v>
      </c>
      <c r="E266" s="19">
        <f t="shared" si="75"/>
        <v>1</v>
      </c>
      <c r="F266" s="42">
        <f t="shared" si="76"/>
        <v>2</v>
      </c>
      <c r="G266" s="103">
        <v>1</v>
      </c>
      <c r="H266" s="103">
        <v>2</v>
      </c>
      <c r="I266" s="19">
        <f t="shared" si="77"/>
        <v>1</v>
      </c>
      <c r="J266" s="42">
        <f t="shared" si="78"/>
        <v>2</v>
      </c>
    </row>
    <row r="267" spans="1:10" ht="23.1" customHeight="1">
      <c r="A267" s="100">
        <v>15</v>
      </c>
      <c r="B267" s="101" t="s">
        <v>142</v>
      </c>
      <c r="C267" s="103">
        <v>383</v>
      </c>
      <c r="D267" s="103">
        <v>1729.7</v>
      </c>
      <c r="E267" s="19">
        <f t="shared" si="75"/>
        <v>1346.7</v>
      </c>
      <c r="F267" s="42">
        <f t="shared" si="76"/>
        <v>4.5161879895561361</v>
      </c>
      <c r="G267" s="103">
        <v>383</v>
      </c>
      <c r="H267" s="103">
        <v>1729.7</v>
      </c>
      <c r="I267" s="19">
        <f t="shared" si="77"/>
        <v>1346.7</v>
      </c>
      <c r="J267" s="42">
        <f t="shared" si="78"/>
        <v>4.5161879895561361</v>
      </c>
    </row>
    <row r="268" spans="1:10" ht="23.1" customHeight="1">
      <c r="A268" s="100">
        <v>16</v>
      </c>
      <c r="B268" s="101" t="s">
        <v>143</v>
      </c>
      <c r="C268" s="103">
        <v>1</v>
      </c>
      <c r="D268" s="103">
        <v>1</v>
      </c>
      <c r="E268" s="19">
        <f t="shared" si="75"/>
        <v>0</v>
      </c>
      <c r="F268" s="42">
        <f t="shared" si="76"/>
        <v>1</v>
      </c>
      <c r="G268" s="103">
        <v>1</v>
      </c>
      <c r="H268" s="103">
        <v>1</v>
      </c>
      <c r="I268" s="19">
        <f t="shared" si="77"/>
        <v>0</v>
      </c>
      <c r="J268" s="42">
        <f t="shared" si="78"/>
        <v>1</v>
      </c>
    </row>
    <row r="269" spans="1:10" ht="23.1" customHeight="1">
      <c r="A269" s="100">
        <v>17</v>
      </c>
      <c r="B269" s="102" t="s">
        <v>142</v>
      </c>
      <c r="C269" s="103">
        <v>570</v>
      </c>
      <c r="D269" s="103">
        <v>570</v>
      </c>
      <c r="E269" s="19">
        <f t="shared" si="75"/>
        <v>0</v>
      </c>
      <c r="F269" s="42">
        <f t="shared" si="76"/>
        <v>1</v>
      </c>
      <c r="G269" s="103">
        <v>570</v>
      </c>
      <c r="H269" s="103">
        <v>570</v>
      </c>
      <c r="I269" s="19">
        <f t="shared" si="77"/>
        <v>0</v>
      </c>
      <c r="J269" s="42">
        <f t="shared" si="78"/>
        <v>1</v>
      </c>
    </row>
    <row r="270" spans="1:10" ht="23.1" customHeight="1">
      <c r="A270" s="100">
        <v>18</v>
      </c>
      <c r="B270" s="102" t="s">
        <v>42</v>
      </c>
      <c r="C270" s="103">
        <v>0</v>
      </c>
      <c r="D270" s="103">
        <v>0</v>
      </c>
      <c r="E270" s="19" t="str">
        <f t="shared" si="75"/>
        <v/>
      </c>
      <c r="F270" s="42" t="str">
        <f t="shared" si="76"/>
        <v/>
      </c>
      <c r="G270" s="103">
        <v>0</v>
      </c>
      <c r="H270" s="103">
        <v>0</v>
      </c>
      <c r="I270" s="19" t="str">
        <f t="shared" si="77"/>
        <v/>
      </c>
      <c r="J270" s="42" t="str">
        <f t="shared" si="78"/>
        <v/>
      </c>
    </row>
    <row r="271" spans="1:10" ht="23.1" customHeight="1">
      <c r="A271" s="100">
        <v>19</v>
      </c>
      <c r="B271" s="102" t="s">
        <v>142</v>
      </c>
      <c r="C271" s="103">
        <v>0</v>
      </c>
      <c r="D271" s="103">
        <v>0</v>
      </c>
      <c r="E271" s="19" t="str">
        <f t="shared" si="75"/>
        <v/>
      </c>
      <c r="F271" s="42" t="str">
        <f t="shared" si="76"/>
        <v/>
      </c>
      <c r="G271" s="103">
        <v>0</v>
      </c>
      <c r="H271" s="103">
        <v>0</v>
      </c>
      <c r="I271" s="19" t="str">
        <f t="shared" si="77"/>
        <v/>
      </c>
      <c r="J271" s="42" t="str">
        <f t="shared" si="78"/>
        <v/>
      </c>
    </row>
    <row r="272" spans="1:10" ht="23.1" customHeight="1">
      <c r="A272" s="17">
        <v>20</v>
      </c>
      <c r="B272" s="101" t="s">
        <v>302</v>
      </c>
      <c r="C272" s="40">
        <v>2</v>
      </c>
      <c r="D272" s="40">
        <v>1</v>
      </c>
      <c r="E272" s="19">
        <f t="shared" si="75"/>
        <v>-1</v>
      </c>
      <c r="F272" s="42">
        <f t="shared" si="76"/>
        <v>0.5</v>
      </c>
      <c r="G272" s="40">
        <v>2</v>
      </c>
      <c r="H272" s="40">
        <v>1</v>
      </c>
      <c r="I272" s="19">
        <f t="shared" si="77"/>
        <v>-1</v>
      </c>
      <c r="J272" s="42">
        <f t="shared" si="78"/>
        <v>0.5</v>
      </c>
    </row>
    <row r="273" spans="1:10" ht="23.1" customHeight="1">
      <c r="A273" s="17">
        <v>21</v>
      </c>
      <c r="B273" s="102" t="s">
        <v>142</v>
      </c>
      <c r="C273" s="40">
        <v>2671.4</v>
      </c>
      <c r="D273" s="40">
        <v>0</v>
      </c>
      <c r="E273" s="19">
        <f t="shared" si="75"/>
        <v>-2671.4</v>
      </c>
      <c r="F273" s="42">
        <f t="shared" si="76"/>
        <v>0</v>
      </c>
      <c r="G273" s="40">
        <v>2671.4</v>
      </c>
      <c r="H273" s="40">
        <v>0</v>
      </c>
      <c r="I273" s="19">
        <f t="shared" si="77"/>
        <v>-2671.4</v>
      </c>
      <c r="J273" s="42">
        <f t="shared" si="78"/>
        <v>0</v>
      </c>
    </row>
    <row r="274" spans="1:10" ht="23.1" customHeight="1">
      <c r="A274" s="17">
        <v>22</v>
      </c>
      <c r="B274" s="24" t="s">
        <v>39</v>
      </c>
      <c r="C274" s="40">
        <v>0</v>
      </c>
      <c r="D274" s="40">
        <v>0</v>
      </c>
      <c r="E274" s="19" t="str">
        <f t="shared" si="75"/>
        <v/>
      </c>
      <c r="F274" s="42" t="str">
        <f t="shared" si="76"/>
        <v/>
      </c>
      <c r="G274" s="40">
        <v>0</v>
      </c>
      <c r="H274" s="40">
        <v>0</v>
      </c>
      <c r="I274" s="19" t="str">
        <f t="shared" si="77"/>
        <v/>
      </c>
      <c r="J274" s="42" t="str">
        <f t="shared" si="78"/>
        <v/>
      </c>
    </row>
    <row r="275" spans="1:10" ht="23.1" customHeight="1">
      <c r="A275" s="17">
        <v>23</v>
      </c>
      <c r="B275" s="24" t="s">
        <v>40</v>
      </c>
      <c r="C275" s="40">
        <v>0</v>
      </c>
      <c r="D275" s="40">
        <v>0</v>
      </c>
      <c r="E275" s="19" t="str">
        <f t="shared" si="75"/>
        <v/>
      </c>
      <c r="F275" s="42" t="str">
        <f t="shared" si="76"/>
        <v/>
      </c>
      <c r="G275" s="40">
        <v>0</v>
      </c>
      <c r="H275" s="40">
        <v>0</v>
      </c>
      <c r="I275" s="19" t="str">
        <f t="shared" si="77"/>
        <v/>
      </c>
      <c r="J275" s="42" t="str">
        <f t="shared" si="78"/>
        <v/>
      </c>
    </row>
    <row r="276" spans="1:10" ht="23.1" customHeight="1">
      <c r="A276" s="17">
        <v>24</v>
      </c>
      <c r="B276" s="24" t="s">
        <v>143</v>
      </c>
      <c r="C276" s="40">
        <v>0</v>
      </c>
      <c r="D276" s="40">
        <v>0</v>
      </c>
      <c r="E276" s="19" t="str">
        <f t="shared" si="75"/>
        <v/>
      </c>
      <c r="F276" s="42" t="str">
        <f t="shared" si="76"/>
        <v/>
      </c>
      <c r="G276" s="40">
        <v>0</v>
      </c>
      <c r="H276" s="40">
        <v>0</v>
      </c>
      <c r="I276" s="19" t="str">
        <f t="shared" si="77"/>
        <v/>
      </c>
      <c r="J276" s="42" t="str">
        <f t="shared" si="78"/>
        <v/>
      </c>
    </row>
    <row r="277" spans="1:10" ht="23.1" customHeight="1">
      <c r="A277" s="17">
        <v>25</v>
      </c>
      <c r="B277" s="24" t="s">
        <v>42</v>
      </c>
      <c r="C277" s="40">
        <v>0</v>
      </c>
      <c r="D277" s="40">
        <v>0</v>
      </c>
      <c r="E277" s="19" t="str">
        <f t="shared" si="75"/>
        <v/>
      </c>
      <c r="F277" s="42" t="str">
        <f t="shared" si="76"/>
        <v/>
      </c>
      <c r="G277" s="40">
        <v>0</v>
      </c>
      <c r="H277" s="40">
        <v>0</v>
      </c>
      <c r="I277" s="19" t="str">
        <f t="shared" si="77"/>
        <v/>
      </c>
      <c r="J277" s="42" t="str">
        <f t="shared" si="78"/>
        <v/>
      </c>
    </row>
    <row r="278" spans="1:10" ht="23.1" customHeight="1">
      <c r="A278" s="17">
        <v>26</v>
      </c>
      <c r="B278" s="24" t="s">
        <v>43</v>
      </c>
      <c r="C278" s="40">
        <v>0</v>
      </c>
      <c r="D278" s="40">
        <v>0</v>
      </c>
      <c r="E278" s="19" t="str">
        <f t="shared" si="75"/>
        <v/>
      </c>
      <c r="F278" s="42" t="str">
        <f t="shared" si="76"/>
        <v/>
      </c>
      <c r="G278" s="40">
        <v>0</v>
      </c>
      <c r="H278" s="40">
        <v>0</v>
      </c>
      <c r="I278" s="19" t="str">
        <f t="shared" si="77"/>
        <v/>
      </c>
      <c r="J278" s="42" t="str">
        <f t="shared" si="78"/>
        <v/>
      </c>
    </row>
    <row r="279" spans="1:10" ht="23.1" customHeight="1">
      <c r="A279" s="17">
        <v>27</v>
      </c>
      <c r="B279" s="23" t="s">
        <v>166</v>
      </c>
      <c r="C279" s="40">
        <v>10</v>
      </c>
      <c r="D279" s="40">
        <v>16</v>
      </c>
      <c r="E279" s="19">
        <f t="shared" si="75"/>
        <v>6</v>
      </c>
      <c r="F279" s="42">
        <f t="shared" si="76"/>
        <v>1.6</v>
      </c>
      <c r="G279" s="40">
        <v>10</v>
      </c>
      <c r="H279" s="40">
        <v>16</v>
      </c>
      <c r="I279" s="19">
        <f t="shared" si="77"/>
        <v>6</v>
      </c>
      <c r="J279" s="42">
        <f t="shared" si="78"/>
        <v>1.6</v>
      </c>
    </row>
    <row r="280" spans="1:10" ht="23.1" customHeight="1">
      <c r="A280" s="17">
        <v>28</v>
      </c>
      <c r="B280" s="24" t="s">
        <v>37</v>
      </c>
      <c r="C280" s="40">
        <v>9</v>
      </c>
      <c r="D280" s="40">
        <v>15</v>
      </c>
      <c r="E280" s="19">
        <f t="shared" si="75"/>
        <v>6</v>
      </c>
      <c r="F280" s="42">
        <f t="shared" si="76"/>
        <v>1.6666666666666667</v>
      </c>
      <c r="G280" s="40">
        <v>9</v>
      </c>
      <c r="H280" s="40">
        <v>15</v>
      </c>
      <c r="I280" s="19">
        <f t="shared" si="77"/>
        <v>6</v>
      </c>
      <c r="J280" s="42">
        <f t="shared" si="78"/>
        <v>1.6666666666666667</v>
      </c>
    </row>
    <row r="281" spans="1:10" ht="23.1" customHeight="1">
      <c r="A281" s="17">
        <v>29</v>
      </c>
      <c r="B281" s="24" t="s">
        <v>38</v>
      </c>
      <c r="C281" s="40">
        <v>0</v>
      </c>
      <c r="D281" s="40">
        <v>0</v>
      </c>
      <c r="E281" s="19" t="str">
        <f t="shared" si="75"/>
        <v/>
      </c>
      <c r="F281" s="42" t="str">
        <f t="shared" si="76"/>
        <v/>
      </c>
      <c r="G281" s="40">
        <v>0</v>
      </c>
      <c r="H281" s="40">
        <v>0</v>
      </c>
      <c r="I281" s="19" t="str">
        <f t="shared" si="77"/>
        <v/>
      </c>
      <c r="J281" s="42" t="str">
        <f t="shared" si="78"/>
        <v/>
      </c>
    </row>
    <row r="282" spans="1:10" ht="23.1" customHeight="1">
      <c r="A282" s="17">
        <v>30</v>
      </c>
      <c r="B282" s="24" t="s">
        <v>40</v>
      </c>
      <c r="C282" s="40">
        <v>1</v>
      </c>
      <c r="D282" s="40">
        <v>1</v>
      </c>
      <c r="E282" s="19">
        <f t="shared" si="75"/>
        <v>0</v>
      </c>
      <c r="F282" s="42">
        <f t="shared" si="76"/>
        <v>1</v>
      </c>
      <c r="G282" s="40">
        <v>1</v>
      </c>
      <c r="H282" s="40">
        <v>1</v>
      </c>
      <c r="I282" s="19">
        <f t="shared" si="77"/>
        <v>0</v>
      </c>
      <c r="J282" s="42">
        <f t="shared" si="78"/>
        <v>1</v>
      </c>
    </row>
    <row r="283" spans="1:10" ht="23.1" customHeight="1">
      <c r="A283" s="17">
        <v>31</v>
      </c>
      <c r="B283" s="24" t="s">
        <v>41</v>
      </c>
      <c r="C283" s="40">
        <v>0</v>
      </c>
      <c r="D283" s="40">
        <v>0</v>
      </c>
      <c r="E283" s="19" t="str">
        <f t="shared" si="75"/>
        <v/>
      </c>
      <c r="F283" s="42" t="str">
        <f t="shared" si="76"/>
        <v/>
      </c>
      <c r="G283" s="40">
        <v>0</v>
      </c>
      <c r="H283" s="40">
        <v>0</v>
      </c>
      <c r="I283" s="19" t="str">
        <f t="shared" si="77"/>
        <v/>
      </c>
      <c r="J283" s="42" t="str">
        <f t="shared" si="78"/>
        <v/>
      </c>
    </row>
    <row r="284" spans="1:10" ht="23.1" customHeight="1">
      <c r="A284" s="17">
        <v>32</v>
      </c>
      <c r="B284" s="24" t="s">
        <v>39</v>
      </c>
      <c r="C284" s="40">
        <v>0</v>
      </c>
      <c r="D284" s="40">
        <v>0</v>
      </c>
      <c r="E284" s="19" t="str">
        <f t="shared" si="75"/>
        <v/>
      </c>
      <c r="F284" s="42" t="str">
        <f t="shared" si="76"/>
        <v/>
      </c>
      <c r="G284" s="40">
        <v>0</v>
      </c>
      <c r="H284" s="40">
        <v>0</v>
      </c>
      <c r="I284" s="19" t="str">
        <f t="shared" si="77"/>
        <v/>
      </c>
      <c r="J284" s="42" t="str">
        <f t="shared" si="78"/>
        <v/>
      </c>
    </row>
    <row r="285" spans="1:10" ht="23.1" customHeight="1">
      <c r="A285" s="17">
        <v>33</v>
      </c>
      <c r="B285" s="24" t="s">
        <v>44</v>
      </c>
      <c r="C285" s="40">
        <v>332253.3</v>
      </c>
      <c r="D285" s="40">
        <v>484968.5</v>
      </c>
      <c r="E285" s="19">
        <f t="shared" si="75"/>
        <v>152715.20000000001</v>
      </c>
      <c r="F285" s="42">
        <f t="shared" si="76"/>
        <v>1.459634862919345</v>
      </c>
      <c r="G285" s="40">
        <v>332253.3</v>
      </c>
      <c r="H285" s="40">
        <v>141271.9</v>
      </c>
      <c r="I285" s="19">
        <f t="shared" si="77"/>
        <v>-190981.4</v>
      </c>
      <c r="J285" s="42">
        <f t="shared" si="78"/>
        <v>0.42519336903501032</v>
      </c>
    </row>
    <row r="286" spans="1:10" ht="23.1" customHeight="1">
      <c r="A286" s="17">
        <v>34</v>
      </c>
      <c r="B286" s="24" t="s">
        <v>45</v>
      </c>
      <c r="C286" s="40">
        <v>310522.90000000002</v>
      </c>
      <c r="D286" s="40">
        <v>371213.1</v>
      </c>
      <c r="E286" s="19">
        <f t="shared" si="75"/>
        <v>60690.199999999953</v>
      </c>
      <c r="F286" s="42">
        <f t="shared" si="76"/>
        <v>1.1954451668459878</v>
      </c>
      <c r="G286" s="40">
        <v>310522.90000000002</v>
      </c>
      <c r="H286" s="40">
        <v>97784.9</v>
      </c>
      <c r="I286" s="19">
        <f t="shared" si="77"/>
        <v>-212738.00000000003</v>
      </c>
      <c r="J286" s="42">
        <f t="shared" si="78"/>
        <v>0.31490398936761183</v>
      </c>
    </row>
    <row r="287" spans="1:10" ht="23.1" customHeight="1">
      <c r="A287" s="17">
        <v>35</v>
      </c>
      <c r="B287" s="24" t="s">
        <v>46</v>
      </c>
      <c r="C287" s="40">
        <v>0</v>
      </c>
      <c r="D287" s="40">
        <v>0</v>
      </c>
      <c r="E287" s="19" t="str">
        <f t="shared" si="75"/>
        <v/>
      </c>
      <c r="F287" s="42" t="str">
        <f t="shared" si="76"/>
        <v/>
      </c>
      <c r="G287" s="40">
        <v>0</v>
      </c>
      <c r="H287" s="40">
        <v>0</v>
      </c>
      <c r="I287" s="19" t="str">
        <f t="shared" si="77"/>
        <v/>
      </c>
      <c r="J287" s="42" t="str">
        <f t="shared" si="78"/>
        <v/>
      </c>
    </row>
    <row r="288" spans="1:10" ht="23.1" customHeight="1"/>
    <row r="289" spans="1:10" ht="15" customHeight="1">
      <c r="A289" s="140" t="s">
        <v>245</v>
      </c>
      <c r="B289" s="140"/>
      <c r="C289" s="140"/>
      <c r="D289" s="140"/>
      <c r="E289" s="140"/>
      <c r="F289" s="140"/>
      <c r="G289" s="140"/>
      <c r="H289" s="140"/>
      <c r="I289" s="140"/>
      <c r="J289" s="140"/>
    </row>
    <row r="290" spans="1:10" ht="15" customHeight="1">
      <c r="A290" s="139"/>
      <c r="B290" s="139"/>
      <c r="C290" s="139"/>
      <c r="D290" s="139"/>
      <c r="E290" s="139"/>
      <c r="F290" s="139"/>
      <c r="G290" s="139"/>
      <c r="H290" s="139"/>
      <c r="I290" s="139"/>
      <c r="J290" s="139"/>
    </row>
    <row r="291" spans="1:10" ht="50.1" customHeight="1">
      <c r="A291" s="19"/>
      <c r="B291" s="67" t="s">
        <v>30</v>
      </c>
      <c r="C291" s="67" t="str">
        <f>"Факт " &amp;$J2 &amp; " 2023 г"</f>
        <v>Факт Сентябрь 2023 г</v>
      </c>
      <c r="D291" s="67" t="str">
        <f xml:space="preserve"> "Факт " &amp;$J2&amp; " 2024 г"</f>
        <v>Факт Сентябрь 2024 г</v>
      </c>
      <c r="E291" s="147" t="s">
        <v>252</v>
      </c>
      <c r="F291" s="148"/>
      <c r="G291" s="67" t="str">
        <f xml:space="preserve"> "Факт Январь -" &amp;$J2&amp; " 2023 г"</f>
        <v>Факт Январь -Сентябрь 2023 г</v>
      </c>
      <c r="H291" s="67" t="str">
        <f xml:space="preserve"> "Факт Январь -" &amp;$J2&amp; " 2024 г"</f>
        <v>Факт Январь -Сентябрь 2024 г</v>
      </c>
      <c r="I291" s="147" t="s">
        <v>252</v>
      </c>
      <c r="J291" s="148"/>
    </row>
    <row r="292" spans="1:10" ht="57.75" customHeight="1">
      <c r="A292" s="30"/>
      <c r="B292" s="30"/>
      <c r="E292" s="28" t="s">
        <v>3</v>
      </c>
      <c r="F292" s="12" t="s">
        <v>4</v>
      </c>
      <c r="G292" s="30"/>
      <c r="H292" s="30"/>
      <c r="I292" s="28" t="s">
        <v>3</v>
      </c>
      <c r="J292" s="12" t="s">
        <v>4</v>
      </c>
    </row>
    <row r="293" spans="1:10" ht="20.25" customHeight="1">
      <c r="A293" s="18" t="s">
        <v>1</v>
      </c>
      <c r="B293" s="12" t="s">
        <v>12</v>
      </c>
      <c r="C293" s="12">
        <v>1</v>
      </c>
      <c r="D293" s="12">
        <v>2</v>
      </c>
      <c r="E293" s="12">
        <v>3</v>
      </c>
      <c r="F293" s="12">
        <v>4</v>
      </c>
      <c r="G293" s="12">
        <v>5</v>
      </c>
      <c r="H293" s="12">
        <v>6</v>
      </c>
      <c r="I293" s="12">
        <v>7</v>
      </c>
      <c r="J293" s="12">
        <v>8</v>
      </c>
    </row>
    <row r="294" spans="1:10" ht="23.1" customHeight="1">
      <c r="A294" s="17">
        <v>1</v>
      </c>
      <c r="B294" s="23" t="s">
        <v>278</v>
      </c>
      <c r="C294" s="41"/>
      <c r="D294" s="40"/>
      <c r="E294" s="19" t="str">
        <f t="shared" ref="E294:E328" si="79">IF(AND(C294=0,D294=0),"",IFERROR(IF(OR(D294=0,D294=""),-C294,D294-C294),""))</f>
        <v/>
      </c>
      <c r="F294" s="42" t="str">
        <f t="shared" ref="F294:F328" si="80">IF(AND(D294=0,C294=0),"",IFERROR(IF(C294=0, D294, D294/C294),""))</f>
        <v/>
      </c>
      <c r="G294" s="40"/>
      <c r="H294" s="40"/>
      <c r="I294" s="19" t="str">
        <f t="shared" ref="I294:I328" si="81">IF(AND(G294=0,H294=0),"",IFERROR(IF(OR(H294=0,H294=""),-G294,H294-G294),""))</f>
        <v/>
      </c>
      <c r="J294" s="42" t="str">
        <f t="shared" ref="J294:J328" si="82">IF(AND(H294=0,G294=0),"",IFERROR(IF(G294=0, H294, H294/G294),""))</f>
        <v/>
      </c>
    </row>
    <row r="295" spans="1:10" ht="23.1" customHeight="1">
      <c r="A295" s="17">
        <v>2</v>
      </c>
      <c r="B295" s="24" t="s">
        <v>32</v>
      </c>
      <c r="C295" s="40">
        <v>13</v>
      </c>
      <c r="D295" s="40">
        <v>11</v>
      </c>
      <c r="E295" s="19">
        <f t="shared" si="79"/>
        <v>-2</v>
      </c>
      <c r="F295" s="42">
        <f t="shared" si="80"/>
        <v>0.84615384615384615</v>
      </c>
      <c r="G295" s="40">
        <v>13</v>
      </c>
      <c r="H295" s="40">
        <v>11</v>
      </c>
      <c r="I295" s="19">
        <f t="shared" si="81"/>
        <v>-2</v>
      </c>
      <c r="J295" s="42">
        <f t="shared" si="82"/>
        <v>0.84615384615384615</v>
      </c>
    </row>
    <row r="296" spans="1:10" ht="23.1" customHeight="1">
      <c r="A296" s="17">
        <v>3</v>
      </c>
      <c r="B296" s="24" t="s">
        <v>162</v>
      </c>
      <c r="C296" s="40">
        <v>5</v>
      </c>
      <c r="D296" s="40">
        <v>11</v>
      </c>
      <c r="E296" s="19">
        <f t="shared" si="79"/>
        <v>6</v>
      </c>
      <c r="F296" s="42">
        <f t="shared" si="80"/>
        <v>2.2000000000000002</v>
      </c>
      <c r="G296" s="40">
        <v>5</v>
      </c>
      <c r="H296" s="40">
        <v>11</v>
      </c>
      <c r="I296" s="19">
        <f t="shared" si="81"/>
        <v>6</v>
      </c>
      <c r="J296" s="42">
        <f t="shared" si="82"/>
        <v>2.2000000000000002</v>
      </c>
    </row>
    <row r="297" spans="1:10" ht="23.1" customHeight="1">
      <c r="A297" s="17">
        <v>4</v>
      </c>
      <c r="B297" s="24" t="s">
        <v>163</v>
      </c>
      <c r="C297" s="40">
        <v>1</v>
      </c>
      <c r="D297" s="40">
        <v>4</v>
      </c>
      <c r="E297" s="19">
        <f t="shared" si="79"/>
        <v>3</v>
      </c>
      <c r="F297" s="42">
        <f t="shared" si="80"/>
        <v>4</v>
      </c>
      <c r="G297" s="40">
        <v>1</v>
      </c>
      <c r="H297" s="40">
        <v>4</v>
      </c>
      <c r="I297" s="19">
        <f t="shared" si="81"/>
        <v>3</v>
      </c>
      <c r="J297" s="42">
        <f t="shared" si="82"/>
        <v>4</v>
      </c>
    </row>
    <row r="298" spans="1:10" ht="23.1" customHeight="1">
      <c r="A298" s="17">
        <v>5</v>
      </c>
      <c r="B298" s="24" t="s">
        <v>164</v>
      </c>
      <c r="C298" s="40">
        <v>0</v>
      </c>
      <c r="D298" s="40">
        <v>0</v>
      </c>
      <c r="E298" s="19" t="str">
        <f t="shared" si="79"/>
        <v/>
      </c>
      <c r="F298" s="42" t="str">
        <f t="shared" si="80"/>
        <v/>
      </c>
      <c r="G298" s="40">
        <v>0</v>
      </c>
      <c r="H298" s="40">
        <v>0</v>
      </c>
      <c r="I298" s="19" t="str">
        <f t="shared" si="81"/>
        <v/>
      </c>
      <c r="J298" s="42" t="str">
        <f t="shared" si="82"/>
        <v/>
      </c>
    </row>
    <row r="299" spans="1:10" ht="23.1" customHeight="1">
      <c r="A299" s="17">
        <v>6</v>
      </c>
      <c r="B299" s="46" t="s">
        <v>165</v>
      </c>
      <c r="C299" s="40">
        <v>0</v>
      </c>
      <c r="D299" s="40">
        <v>2</v>
      </c>
      <c r="E299" s="19">
        <f t="shared" si="79"/>
        <v>2</v>
      </c>
      <c r="F299" s="42">
        <f t="shared" si="80"/>
        <v>2</v>
      </c>
      <c r="G299" s="40">
        <v>0</v>
      </c>
      <c r="H299" s="40">
        <v>2</v>
      </c>
      <c r="I299" s="19">
        <f t="shared" si="81"/>
        <v>2</v>
      </c>
      <c r="J299" s="42">
        <f t="shared" si="82"/>
        <v>2</v>
      </c>
    </row>
    <row r="300" spans="1:10" ht="23.1" customHeight="1">
      <c r="A300" s="100">
        <v>7</v>
      </c>
      <c r="B300" s="101" t="s">
        <v>33</v>
      </c>
      <c r="C300" s="103">
        <v>0</v>
      </c>
      <c r="D300" s="103">
        <v>0</v>
      </c>
      <c r="E300" s="19" t="str">
        <f t="shared" si="79"/>
        <v/>
      </c>
      <c r="F300" s="42" t="str">
        <f t="shared" si="80"/>
        <v/>
      </c>
      <c r="G300" s="103">
        <v>0</v>
      </c>
      <c r="H300" s="103"/>
      <c r="I300" s="19" t="str">
        <f t="shared" si="81"/>
        <v/>
      </c>
      <c r="J300" s="42" t="str">
        <f t="shared" si="82"/>
        <v/>
      </c>
    </row>
    <row r="301" spans="1:10" ht="23.1" customHeight="1">
      <c r="A301" s="100">
        <v>8</v>
      </c>
      <c r="B301" s="101" t="s">
        <v>141</v>
      </c>
      <c r="C301" s="103">
        <v>6</v>
      </c>
      <c r="D301" s="103">
        <v>10</v>
      </c>
      <c r="E301" s="19">
        <f t="shared" si="79"/>
        <v>4</v>
      </c>
      <c r="F301" s="42">
        <f t="shared" si="80"/>
        <v>1.6666666666666667</v>
      </c>
      <c r="G301" s="103">
        <v>6</v>
      </c>
      <c r="H301" s="103">
        <v>10</v>
      </c>
      <c r="I301" s="19">
        <f t="shared" si="81"/>
        <v>4</v>
      </c>
      <c r="J301" s="42">
        <f t="shared" si="82"/>
        <v>1.6666666666666667</v>
      </c>
    </row>
    <row r="302" spans="1:10" ht="23.1" customHeight="1">
      <c r="A302" s="100">
        <v>9</v>
      </c>
      <c r="B302" s="101" t="s">
        <v>37</v>
      </c>
      <c r="C302" s="103">
        <v>25</v>
      </c>
      <c r="D302" s="103">
        <v>19</v>
      </c>
      <c r="E302" s="19">
        <f t="shared" si="79"/>
        <v>-6</v>
      </c>
      <c r="F302" s="42">
        <f t="shared" si="80"/>
        <v>0.76</v>
      </c>
      <c r="G302" s="103">
        <v>25</v>
      </c>
      <c r="H302" s="103">
        <v>19</v>
      </c>
      <c r="I302" s="19">
        <f t="shared" si="81"/>
        <v>-6</v>
      </c>
      <c r="J302" s="42">
        <f t="shared" si="82"/>
        <v>0.76</v>
      </c>
    </row>
    <row r="303" spans="1:10" ht="23.1" customHeight="1">
      <c r="A303" s="100">
        <v>10</v>
      </c>
      <c r="B303" s="101" t="s">
        <v>38</v>
      </c>
      <c r="C303" s="103">
        <v>12</v>
      </c>
      <c r="D303" s="103">
        <v>19</v>
      </c>
      <c r="E303" s="19">
        <f t="shared" si="79"/>
        <v>7</v>
      </c>
      <c r="F303" s="42">
        <f t="shared" si="80"/>
        <v>1.5833333333333333</v>
      </c>
      <c r="G303" s="103">
        <v>12</v>
      </c>
      <c r="H303" s="103">
        <v>19</v>
      </c>
      <c r="I303" s="19">
        <f t="shared" si="81"/>
        <v>7</v>
      </c>
      <c r="J303" s="42">
        <f t="shared" si="82"/>
        <v>1.5833333333333333</v>
      </c>
    </row>
    <row r="304" spans="1:10" ht="23.1" customHeight="1">
      <c r="A304" s="100">
        <v>11</v>
      </c>
      <c r="B304" s="101" t="s">
        <v>142</v>
      </c>
      <c r="C304" s="103">
        <v>36464.620000000003</v>
      </c>
      <c r="D304" s="103">
        <v>41569.9</v>
      </c>
      <c r="E304" s="19">
        <f t="shared" si="79"/>
        <v>5105.2799999999988</v>
      </c>
      <c r="F304" s="42">
        <f t="shared" si="80"/>
        <v>1.1400063952400985</v>
      </c>
      <c r="G304" s="103">
        <v>36464.620000000003</v>
      </c>
      <c r="H304" s="103">
        <v>41569.9</v>
      </c>
      <c r="I304" s="19">
        <f t="shared" si="81"/>
        <v>5105.2799999999988</v>
      </c>
      <c r="J304" s="42">
        <f t="shared" si="82"/>
        <v>1.1400063952400985</v>
      </c>
    </row>
    <row r="305" spans="1:10" ht="23.1" customHeight="1">
      <c r="A305" s="100">
        <v>12</v>
      </c>
      <c r="B305" s="101" t="s">
        <v>39</v>
      </c>
      <c r="C305" s="103">
        <v>0</v>
      </c>
      <c r="D305" s="103">
        <v>1</v>
      </c>
      <c r="E305" s="19">
        <f t="shared" si="79"/>
        <v>1</v>
      </c>
      <c r="F305" s="42">
        <f t="shared" si="80"/>
        <v>1</v>
      </c>
      <c r="G305" s="103">
        <v>0</v>
      </c>
      <c r="H305" s="103">
        <v>1</v>
      </c>
      <c r="I305" s="19">
        <f t="shared" si="81"/>
        <v>1</v>
      </c>
      <c r="J305" s="42">
        <f t="shared" si="82"/>
        <v>1</v>
      </c>
    </row>
    <row r="306" spans="1:10" ht="23.1" customHeight="1">
      <c r="A306" s="100">
        <v>13</v>
      </c>
      <c r="B306" s="101" t="s">
        <v>142</v>
      </c>
      <c r="C306" s="103">
        <v>0</v>
      </c>
      <c r="D306" s="103">
        <v>366</v>
      </c>
      <c r="E306" s="19">
        <f t="shared" si="79"/>
        <v>366</v>
      </c>
      <c r="F306" s="42">
        <f t="shared" si="80"/>
        <v>366</v>
      </c>
      <c r="G306" s="103">
        <v>0</v>
      </c>
      <c r="H306" s="103">
        <v>366</v>
      </c>
      <c r="I306" s="19">
        <f t="shared" si="81"/>
        <v>366</v>
      </c>
      <c r="J306" s="42">
        <f t="shared" si="82"/>
        <v>366</v>
      </c>
    </row>
    <row r="307" spans="1:10" ht="23.1" customHeight="1">
      <c r="A307" s="100">
        <v>14</v>
      </c>
      <c r="B307" s="101" t="s">
        <v>40</v>
      </c>
      <c r="C307" s="103">
        <v>2</v>
      </c>
      <c r="D307" s="103">
        <v>1</v>
      </c>
      <c r="E307" s="19">
        <f t="shared" si="79"/>
        <v>-1</v>
      </c>
      <c r="F307" s="42">
        <f t="shared" si="80"/>
        <v>0.5</v>
      </c>
      <c r="G307" s="103">
        <v>2</v>
      </c>
      <c r="H307" s="103">
        <v>1</v>
      </c>
      <c r="I307" s="19">
        <f t="shared" si="81"/>
        <v>-1</v>
      </c>
      <c r="J307" s="42">
        <f t="shared" si="82"/>
        <v>0.5</v>
      </c>
    </row>
    <row r="308" spans="1:10" ht="23.1" customHeight="1">
      <c r="A308" s="100">
        <v>15</v>
      </c>
      <c r="B308" s="101" t="s">
        <v>142</v>
      </c>
      <c r="C308" s="103">
        <v>1338</v>
      </c>
      <c r="D308" s="103">
        <v>1338</v>
      </c>
      <c r="E308" s="19">
        <f t="shared" si="79"/>
        <v>0</v>
      </c>
      <c r="F308" s="42">
        <f t="shared" si="80"/>
        <v>1</v>
      </c>
      <c r="G308" s="103">
        <v>1338</v>
      </c>
      <c r="H308" s="103">
        <v>1338</v>
      </c>
      <c r="I308" s="19">
        <f t="shared" si="81"/>
        <v>0</v>
      </c>
      <c r="J308" s="42">
        <f t="shared" si="82"/>
        <v>1</v>
      </c>
    </row>
    <row r="309" spans="1:10" ht="23.1" customHeight="1">
      <c r="A309" s="100">
        <v>16</v>
      </c>
      <c r="B309" s="101" t="s">
        <v>143</v>
      </c>
      <c r="C309" s="103">
        <v>2</v>
      </c>
      <c r="D309" s="103">
        <v>3</v>
      </c>
      <c r="E309" s="19">
        <f t="shared" si="79"/>
        <v>1</v>
      </c>
      <c r="F309" s="42">
        <f t="shared" si="80"/>
        <v>1.5</v>
      </c>
      <c r="G309" s="103">
        <v>2</v>
      </c>
      <c r="H309" s="103">
        <v>3</v>
      </c>
      <c r="I309" s="19">
        <f t="shared" si="81"/>
        <v>1</v>
      </c>
      <c r="J309" s="42">
        <f t="shared" si="82"/>
        <v>1.5</v>
      </c>
    </row>
    <row r="310" spans="1:10" ht="23.1" customHeight="1">
      <c r="A310" s="100">
        <v>17</v>
      </c>
      <c r="B310" s="102" t="s">
        <v>142</v>
      </c>
      <c r="C310" s="103">
        <v>875.2</v>
      </c>
      <c r="D310" s="103">
        <v>1492.1</v>
      </c>
      <c r="E310" s="19">
        <f t="shared" si="79"/>
        <v>616.89999999999986</v>
      </c>
      <c r="F310" s="42">
        <f t="shared" si="80"/>
        <v>1.7048674588665447</v>
      </c>
      <c r="G310" s="103">
        <v>875.2</v>
      </c>
      <c r="H310" s="103">
        <v>1492.1</v>
      </c>
      <c r="I310" s="19">
        <f t="shared" si="81"/>
        <v>616.89999999999986</v>
      </c>
      <c r="J310" s="42">
        <f t="shared" si="82"/>
        <v>1.7048674588665447</v>
      </c>
    </row>
    <row r="311" spans="1:10" ht="23.1" customHeight="1">
      <c r="A311" s="100">
        <v>18</v>
      </c>
      <c r="B311" s="102" t="s">
        <v>42</v>
      </c>
      <c r="C311" s="103">
        <v>2</v>
      </c>
      <c r="D311" s="103">
        <v>0</v>
      </c>
      <c r="E311" s="19">
        <f t="shared" si="79"/>
        <v>-2</v>
      </c>
      <c r="F311" s="42">
        <f t="shared" si="80"/>
        <v>0</v>
      </c>
      <c r="G311" s="103">
        <v>0</v>
      </c>
      <c r="H311" s="103">
        <v>0</v>
      </c>
      <c r="I311" s="19" t="str">
        <f t="shared" si="81"/>
        <v/>
      </c>
      <c r="J311" s="42" t="str">
        <f t="shared" si="82"/>
        <v/>
      </c>
    </row>
    <row r="312" spans="1:10" ht="23.1" customHeight="1">
      <c r="A312" s="100">
        <v>19</v>
      </c>
      <c r="B312" s="102" t="s">
        <v>142</v>
      </c>
      <c r="C312" s="103">
        <v>0</v>
      </c>
      <c r="D312" s="103">
        <v>0</v>
      </c>
      <c r="E312" s="19" t="str">
        <f t="shared" si="79"/>
        <v/>
      </c>
      <c r="F312" s="42" t="str">
        <f t="shared" si="80"/>
        <v/>
      </c>
      <c r="G312" s="103">
        <v>0</v>
      </c>
      <c r="H312" s="103">
        <v>0</v>
      </c>
      <c r="I312" s="19" t="str">
        <f t="shared" si="81"/>
        <v/>
      </c>
      <c r="J312" s="42" t="str">
        <f t="shared" si="82"/>
        <v/>
      </c>
    </row>
    <row r="313" spans="1:10" ht="23.1" customHeight="1">
      <c r="A313" s="100">
        <v>20</v>
      </c>
      <c r="B313" s="101" t="s">
        <v>302</v>
      </c>
      <c r="C313" s="103">
        <v>2</v>
      </c>
      <c r="D313" s="103">
        <v>0</v>
      </c>
      <c r="E313" s="19">
        <f t="shared" si="79"/>
        <v>-2</v>
      </c>
      <c r="F313" s="42">
        <f t="shared" si="80"/>
        <v>0</v>
      </c>
      <c r="G313" s="103">
        <v>2</v>
      </c>
      <c r="H313" s="103">
        <v>0</v>
      </c>
      <c r="I313" s="19">
        <f t="shared" si="81"/>
        <v>-2</v>
      </c>
      <c r="J313" s="42">
        <f t="shared" si="82"/>
        <v>0</v>
      </c>
    </row>
    <row r="314" spans="1:10" ht="23.1" customHeight="1">
      <c r="A314" s="100">
        <v>21</v>
      </c>
      <c r="B314" s="102" t="s">
        <v>142</v>
      </c>
      <c r="C314" s="103">
        <v>1106.0999999999999</v>
      </c>
      <c r="D314" s="103">
        <v>0</v>
      </c>
      <c r="E314" s="19">
        <f t="shared" si="79"/>
        <v>-1106.0999999999999</v>
      </c>
      <c r="F314" s="42">
        <f t="shared" si="80"/>
        <v>0</v>
      </c>
      <c r="G314" s="103">
        <v>1106.0999999999999</v>
      </c>
      <c r="H314" s="103">
        <v>0</v>
      </c>
      <c r="I314" s="19">
        <f t="shared" si="81"/>
        <v>-1106.0999999999999</v>
      </c>
      <c r="J314" s="42">
        <f t="shared" si="82"/>
        <v>0</v>
      </c>
    </row>
    <row r="315" spans="1:10" ht="23.1" customHeight="1">
      <c r="A315" s="17">
        <v>22</v>
      </c>
      <c r="B315" s="24" t="s">
        <v>39</v>
      </c>
      <c r="C315" s="40">
        <v>0</v>
      </c>
      <c r="D315" s="40">
        <v>0</v>
      </c>
      <c r="E315" s="19" t="str">
        <f t="shared" si="79"/>
        <v/>
      </c>
      <c r="F315" s="42" t="str">
        <f t="shared" si="80"/>
        <v/>
      </c>
      <c r="G315" s="40">
        <v>0</v>
      </c>
      <c r="H315" s="40">
        <v>0</v>
      </c>
      <c r="I315" s="19" t="str">
        <f t="shared" si="81"/>
        <v/>
      </c>
      <c r="J315" s="42" t="str">
        <f t="shared" si="82"/>
        <v/>
      </c>
    </row>
    <row r="316" spans="1:10" ht="23.1" customHeight="1">
      <c r="A316" s="17">
        <v>23</v>
      </c>
      <c r="B316" s="24" t="s">
        <v>40</v>
      </c>
      <c r="C316" s="40">
        <v>0</v>
      </c>
      <c r="D316" s="40">
        <v>0</v>
      </c>
      <c r="E316" s="19" t="str">
        <f t="shared" si="79"/>
        <v/>
      </c>
      <c r="F316" s="42" t="str">
        <f t="shared" si="80"/>
        <v/>
      </c>
      <c r="G316" s="40">
        <v>0</v>
      </c>
      <c r="H316" s="40">
        <v>0</v>
      </c>
      <c r="I316" s="19" t="str">
        <f t="shared" si="81"/>
        <v/>
      </c>
      <c r="J316" s="42" t="str">
        <f t="shared" si="82"/>
        <v/>
      </c>
    </row>
    <row r="317" spans="1:10" ht="23.1" customHeight="1">
      <c r="A317" s="17">
        <v>24</v>
      </c>
      <c r="B317" s="24" t="s">
        <v>143</v>
      </c>
      <c r="C317" s="40">
        <v>0</v>
      </c>
      <c r="D317" s="40">
        <v>0</v>
      </c>
      <c r="E317" s="19" t="str">
        <f t="shared" si="79"/>
        <v/>
      </c>
      <c r="F317" s="42" t="str">
        <f t="shared" si="80"/>
        <v/>
      </c>
      <c r="G317" s="40">
        <v>0</v>
      </c>
      <c r="H317" s="40">
        <v>0</v>
      </c>
      <c r="I317" s="19" t="str">
        <f t="shared" si="81"/>
        <v/>
      </c>
      <c r="J317" s="42" t="str">
        <f t="shared" si="82"/>
        <v/>
      </c>
    </row>
    <row r="318" spans="1:10" ht="23.1" customHeight="1">
      <c r="A318" s="17">
        <v>25</v>
      </c>
      <c r="B318" s="24" t="s">
        <v>42</v>
      </c>
      <c r="C318" s="40">
        <v>0</v>
      </c>
      <c r="D318" s="40">
        <v>0</v>
      </c>
      <c r="E318" s="19" t="str">
        <f t="shared" si="79"/>
        <v/>
      </c>
      <c r="F318" s="42" t="str">
        <f t="shared" si="80"/>
        <v/>
      </c>
      <c r="G318" s="40">
        <v>0</v>
      </c>
      <c r="H318" s="40">
        <v>0</v>
      </c>
      <c r="I318" s="19" t="str">
        <f t="shared" si="81"/>
        <v/>
      </c>
      <c r="J318" s="42" t="str">
        <f t="shared" si="82"/>
        <v/>
      </c>
    </row>
    <row r="319" spans="1:10" ht="23.1" customHeight="1">
      <c r="A319" s="17">
        <v>26</v>
      </c>
      <c r="B319" s="24" t="s">
        <v>43</v>
      </c>
      <c r="C319" s="40">
        <v>0</v>
      </c>
      <c r="D319" s="40">
        <v>0</v>
      </c>
      <c r="E319" s="19" t="str">
        <f t="shared" si="79"/>
        <v/>
      </c>
      <c r="F319" s="42" t="str">
        <f t="shared" si="80"/>
        <v/>
      </c>
      <c r="G319" s="40">
        <v>0</v>
      </c>
      <c r="H319" s="40">
        <v>0</v>
      </c>
      <c r="I319" s="19" t="str">
        <f t="shared" si="81"/>
        <v/>
      </c>
      <c r="J319" s="42" t="str">
        <f t="shared" si="82"/>
        <v/>
      </c>
    </row>
    <row r="320" spans="1:10" ht="23.1" customHeight="1">
      <c r="A320" s="17">
        <v>27</v>
      </c>
      <c r="B320" s="23" t="s">
        <v>166</v>
      </c>
      <c r="C320" s="40">
        <v>34</v>
      </c>
      <c r="D320" s="40">
        <v>32</v>
      </c>
      <c r="E320" s="19">
        <f t="shared" si="79"/>
        <v>-2</v>
      </c>
      <c r="F320" s="42">
        <f t="shared" si="80"/>
        <v>0.94117647058823528</v>
      </c>
      <c r="G320" s="40">
        <v>34</v>
      </c>
      <c r="H320" s="40">
        <v>32</v>
      </c>
      <c r="I320" s="19">
        <f t="shared" si="81"/>
        <v>-2</v>
      </c>
      <c r="J320" s="42">
        <f t="shared" si="82"/>
        <v>0.94117647058823528</v>
      </c>
    </row>
    <row r="321" spans="1:10" ht="23.1" customHeight="1">
      <c r="A321" s="17">
        <v>28</v>
      </c>
      <c r="B321" s="24" t="s">
        <v>37</v>
      </c>
      <c r="C321" s="40">
        <v>28</v>
      </c>
      <c r="D321" s="40">
        <v>22</v>
      </c>
      <c r="E321" s="19">
        <f t="shared" si="79"/>
        <v>-6</v>
      </c>
      <c r="F321" s="42">
        <f t="shared" si="80"/>
        <v>0.7857142857142857</v>
      </c>
      <c r="G321" s="40">
        <v>28</v>
      </c>
      <c r="H321" s="40">
        <v>22</v>
      </c>
      <c r="I321" s="19">
        <f t="shared" si="81"/>
        <v>-6</v>
      </c>
      <c r="J321" s="42">
        <f t="shared" si="82"/>
        <v>0.7857142857142857</v>
      </c>
    </row>
    <row r="322" spans="1:10" ht="23.1" customHeight="1">
      <c r="A322" s="17">
        <v>29</v>
      </c>
      <c r="B322" s="24" t="s">
        <v>38</v>
      </c>
      <c r="C322" s="40">
        <v>2</v>
      </c>
      <c r="D322" s="40">
        <v>5</v>
      </c>
      <c r="E322" s="19">
        <f t="shared" si="79"/>
        <v>3</v>
      </c>
      <c r="F322" s="42">
        <f t="shared" si="80"/>
        <v>2.5</v>
      </c>
      <c r="G322" s="40">
        <v>2</v>
      </c>
      <c r="H322" s="40">
        <v>5</v>
      </c>
      <c r="I322" s="19">
        <f t="shared" si="81"/>
        <v>3</v>
      </c>
      <c r="J322" s="42">
        <f t="shared" si="82"/>
        <v>2.5</v>
      </c>
    </row>
    <row r="323" spans="1:10" ht="23.1" customHeight="1">
      <c r="A323" s="17">
        <v>30</v>
      </c>
      <c r="B323" s="24" t="s">
        <v>40</v>
      </c>
      <c r="C323" s="40">
        <v>1</v>
      </c>
      <c r="D323" s="40">
        <v>1</v>
      </c>
      <c r="E323" s="19">
        <f t="shared" si="79"/>
        <v>0</v>
      </c>
      <c r="F323" s="42">
        <f t="shared" si="80"/>
        <v>1</v>
      </c>
      <c r="G323" s="40">
        <v>1</v>
      </c>
      <c r="H323" s="40">
        <v>1</v>
      </c>
      <c r="I323" s="19">
        <f t="shared" si="81"/>
        <v>0</v>
      </c>
      <c r="J323" s="42">
        <f t="shared" si="82"/>
        <v>1</v>
      </c>
    </row>
    <row r="324" spans="1:10" ht="23.1" customHeight="1">
      <c r="A324" s="17">
        <v>31</v>
      </c>
      <c r="B324" s="24" t="s">
        <v>41</v>
      </c>
      <c r="C324" s="40">
        <v>2</v>
      </c>
      <c r="D324" s="40">
        <v>2</v>
      </c>
      <c r="E324" s="19">
        <f t="shared" si="79"/>
        <v>0</v>
      </c>
      <c r="F324" s="42">
        <f t="shared" si="80"/>
        <v>1</v>
      </c>
      <c r="G324" s="40">
        <v>2</v>
      </c>
      <c r="H324" s="40">
        <v>2</v>
      </c>
      <c r="I324" s="19">
        <f t="shared" si="81"/>
        <v>0</v>
      </c>
      <c r="J324" s="42">
        <f t="shared" si="82"/>
        <v>1</v>
      </c>
    </row>
    <row r="325" spans="1:10" ht="23.1" customHeight="1">
      <c r="A325" s="17">
        <v>32</v>
      </c>
      <c r="B325" s="24" t="s">
        <v>39</v>
      </c>
      <c r="C325" s="40">
        <v>1</v>
      </c>
      <c r="D325" s="40">
        <v>2</v>
      </c>
      <c r="E325" s="19">
        <f t="shared" si="79"/>
        <v>1</v>
      </c>
      <c r="F325" s="42">
        <f t="shared" si="80"/>
        <v>2</v>
      </c>
      <c r="G325" s="40">
        <v>1</v>
      </c>
      <c r="H325" s="40">
        <v>2</v>
      </c>
      <c r="I325" s="19">
        <f t="shared" si="81"/>
        <v>1</v>
      </c>
      <c r="J325" s="42">
        <f t="shared" si="82"/>
        <v>2</v>
      </c>
    </row>
    <row r="326" spans="1:10" ht="23.1" customHeight="1">
      <c r="A326" s="17">
        <v>33</v>
      </c>
      <c r="B326" s="24" t="s">
        <v>44</v>
      </c>
      <c r="C326" s="40">
        <v>816709.3</v>
      </c>
      <c r="D326" s="40">
        <v>748273.7</v>
      </c>
      <c r="E326" s="19">
        <f t="shared" si="79"/>
        <v>-68435.600000000093</v>
      </c>
      <c r="F326" s="42">
        <f t="shared" si="80"/>
        <v>0.91620568052794293</v>
      </c>
      <c r="G326" s="40">
        <v>816709.3</v>
      </c>
      <c r="H326" s="40">
        <v>543200.1</v>
      </c>
      <c r="I326" s="19">
        <f t="shared" si="81"/>
        <v>-273509.20000000007</v>
      </c>
      <c r="J326" s="42">
        <f t="shared" si="82"/>
        <v>0.6651082582260297</v>
      </c>
    </row>
    <row r="327" spans="1:10" ht="23.1" customHeight="1">
      <c r="A327" s="17">
        <v>34</v>
      </c>
      <c r="B327" s="24" t="s">
        <v>45</v>
      </c>
      <c r="C327" s="40">
        <v>748273.7</v>
      </c>
      <c r="D327" s="40">
        <v>614547.4</v>
      </c>
      <c r="E327" s="19">
        <f t="shared" si="79"/>
        <v>-133726.29999999993</v>
      </c>
      <c r="F327" s="42">
        <f t="shared" si="80"/>
        <v>0.82128691680597632</v>
      </c>
      <c r="G327" s="40">
        <v>748273.7</v>
      </c>
      <c r="H327" s="40">
        <v>489269.9</v>
      </c>
      <c r="I327" s="19">
        <f t="shared" si="81"/>
        <v>-259003.79999999993</v>
      </c>
      <c r="J327" s="42">
        <f t="shared" si="82"/>
        <v>0.65386488927781383</v>
      </c>
    </row>
    <row r="328" spans="1:10" ht="23.1" customHeight="1">
      <c r="A328" s="17">
        <v>35</v>
      </c>
      <c r="B328" s="24" t="s">
        <v>46</v>
      </c>
      <c r="C328" s="40">
        <v>0</v>
      </c>
      <c r="D328" s="40">
        <v>0</v>
      </c>
      <c r="E328" s="19" t="str">
        <f t="shared" si="79"/>
        <v/>
      </c>
      <c r="F328" s="42" t="str">
        <f t="shared" si="80"/>
        <v/>
      </c>
      <c r="G328" s="40">
        <v>0</v>
      </c>
      <c r="H328" s="40">
        <v>0</v>
      </c>
      <c r="I328" s="19" t="str">
        <f t="shared" si="81"/>
        <v/>
      </c>
      <c r="J328" s="42" t="str">
        <f t="shared" si="82"/>
        <v/>
      </c>
    </row>
    <row r="329" spans="1:10" ht="23.1" customHeight="1"/>
    <row r="330" spans="1:10" ht="23.1" customHeight="1"/>
    <row r="331" spans="1:10" ht="23.1" customHeight="1"/>
    <row r="332" spans="1:10" ht="23.1" customHeight="1"/>
    <row r="333" spans="1:10" ht="23.1" customHeight="1"/>
    <row r="334" spans="1:10" ht="23.1" customHeight="1"/>
    <row r="335" spans="1:10" ht="23.1" customHeight="1"/>
    <row r="336" spans="1:10" ht="23.1" customHeight="1"/>
    <row r="337" ht="23.1" customHeight="1"/>
    <row r="338" ht="23.1" customHeight="1"/>
    <row r="339" ht="23.1" customHeight="1"/>
    <row r="340" ht="23.1" customHeight="1"/>
    <row r="341" ht="23.1" customHeight="1"/>
    <row r="342" ht="23.1" customHeight="1"/>
    <row r="343" ht="23.1" customHeight="1"/>
    <row r="344" ht="23.1" customHeight="1"/>
    <row r="345" ht="23.1" customHeight="1"/>
    <row r="346" ht="23.1" customHeight="1"/>
    <row r="347" ht="23.1" customHeight="1"/>
    <row r="348" ht="23.1" customHeight="1"/>
    <row r="349" ht="23.1" customHeight="1"/>
    <row r="350" ht="23.1" customHeight="1"/>
    <row r="351" ht="23.1" customHeight="1"/>
    <row r="352" ht="23.1" customHeight="1"/>
    <row r="353" ht="23.1" customHeight="1"/>
    <row r="354" ht="23.1" customHeight="1"/>
    <row r="355" ht="23.1" customHeight="1"/>
    <row r="356" ht="23.1" customHeight="1"/>
    <row r="357" ht="23.1" customHeight="1"/>
    <row r="358" ht="23.1" customHeight="1"/>
    <row r="359" ht="23.1" customHeight="1"/>
    <row r="360" ht="23.1" customHeight="1"/>
    <row r="361" ht="23.1" customHeight="1"/>
    <row r="362" ht="23.1" customHeight="1"/>
    <row r="363" ht="23.1" customHeight="1"/>
    <row r="364" ht="23.1" customHeight="1"/>
    <row r="365" ht="23.1" customHeight="1"/>
    <row r="366" ht="23.1" customHeight="1"/>
    <row r="367" ht="23.1" customHeight="1"/>
    <row r="368" ht="23.1" customHeight="1"/>
    <row r="369" ht="23.1" customHeight="1"/>
    <row r="370" ht="23.1" customHeight="1"/>
    <row r="371" ht="23.1" customHeight="1"/>
    <row r="372" ht="23.1" customHeight="1"/>
    <row r="373" ht="23.1" customHeight="1"/>
    <row r="374" ht="23.1" customHeight="1"/>
    <row r="375" ht="23.1" customHeight="1"/>
    <row r="376" ht="23.1" customHeight="1"/>
    <row r="377" ht="23.1" customHeight="1"/>
    <row r="378" ht="23.1" customHeight="1"/>
    <row r="379" ht="23.1" customHeight="1"/>
    <row r="380" ht="23.1" customHeight="1"/>
    <row r="381" ht="23.1" customHeight="1"/>
    <row r="382" ht="23.1" customHeight="1"/>
    <row r="383" ht="23.1" customHeight="1"/>
    <row r="384" ht="23.1" customHeight="1"/>
    <row r="385" ht="23.1" customHeight="1"/>
    <row r="386" ht="23.1" customHeight="1"/>
    <row r="387" ht="23.1" customHeight="1"/>
    <row r="388" ht="23.1" customHeight="1"/>
    <row r="389" ht="23.1" customHeight="1"/>
    <row r="390" ht="23.1" customHeight="1"/>
    <row r="391" ht="23.1" customHeight="1"/>
    <row r="392" ht="23.1" customHeight="1"/>
    <row r="393" ht="23.1" customHeight="1"/>
    <row r="394" ht="23.1" customHeight="1"/>
    <row r="395" ht="23.1" customHeight="1"/>
    <row r="396" ht="23.1" customHeight="1"/>
    <row r="397" ht="23.1" customHeight="1"/>
    <row r="398" ht="23.1" customHeight="1"/>
    <row r="399" ht="23.1" customHeight="1"/>
    <row r="400" ht="23.1" customHeight="1"/>
    <row r="401" ht="23.1" customHeight="1"/>
    <row r="402" ht="23.1" customHeight="1"/>
    <row r="403" ht="23.1" customHeight="1"/>
    <row r="404" ht="23.1" customHeight="1"/>
    <row r="405" ht="23.1" customHeight="1"/>
    <row r="406" ht="23.1" customHeight="1"/>
    <row r="407" ht="23.1" customHeight="1"/>
    <row r="408" ht="23.1" customHeight="1"/>
    <row r="409" ht="23.1" customHeight="1"/>
    <row r="410" ht="23.1" customHeight="1"/>
    <row r="411" ht="23.1" customHeight="1"/>
    <row r="412" ht="23.1" customHeight="1"/>
    <row r="413" ht="23.1" customHeight="1"/>
    <row r="414" ht="23.1" customHeight="1"/>
    <row r="415" ht="23.1" customHeight="1"/>
    <row r="416" ht="23.1" customHeight="1"/>
    <row r="417" ht="23.1" customHeight="1"/>
    <row r="418" ht="23.1" customHeight="1"/>
    <row r="419" ht="23.1" customHeight="1"/>
    <row r="420" ht="23.1" customHeight="1"/>
    <row r="421" ht="23.1" customHeight="1"/>
    <row r="422" ht="23.1" customHeight="1"/>
    <row r="423" ht="23.1" customHeight="1"/>
    <row r="424" ht="23.1" customHeight="1"/>
    <row r="425" ht="23.1" customHeight="1"/>
    <row r="426" ht="23.1" customHeight="1"/>
    <row r="427" ht="23.1" customHeight="1"/>
    <row r="428" ht="23.1" customHeight="1"/>
    <row r="429" ht="23.1" customHeight="1"/>
    <row r="430" ht="23.1" customHeight="1"/>
    <row r="431" ht="23.1" customHeight="1"/>
    <row r="432" ht="23.1" customHeight="1"/>
    <row r="433" ht="23.1" customHeight="1"/>
    <row r="434" ht="23.1" customHeight="1"/>
    <row r="435" ht="23.1" customHeight="1"/>
    <row r="436" ht="23.1" customHeight="1"/>
    <row r="437" ht="23.1" customHeight="1"/>
    <row r="438" ht="23.1" customHeight="1"/>
    <row r="439" ht="23.1" customHeight="1"/>
    <row r="440" ht="23.1" customHeight="1"/>
    <row r="441" ht="23.1" customHeight="1"/>
    <row r="442" ht="23.1" customHeight="1"/>
    <row r="443" ht="23.1" customHeight="1"/>
    <row r="444" ht="23.1" customHeight="1"/>
    <row r="445" ht="23.1" customHeight="1"/>
    <row r="446" ht="23.1" customHeight="1"/>
    <row r="447" ht="23.1" customHeight="1"/>
    <row r="448" ht="23.1" customHeight="1"/>
    <row r="449" ht="23.1" customHeight="1"/>
    <row r="450" ht="23.1" customHeight="1"/>
    <row r="451" ht="23.1" customHeight="1"/>
    <row r="452" ht="23.1" customHeight="1"/>
    <row r="453" ht="23.1" customHeight="1"/>
    <row r="454" ht="23.1" customHeight="1"/>
    <row r="455" ht="23.1" customHeight="1"/>
    <row r="456" ht="23.1" customHeight="1"/>
    <row r="457" ht="23.1" customHeight="1"/>
    <row r="458" ht="23.1" customHeight="1"/>
    <row r="459" ht="23.1" customHeight="1"/>
    <row r="460" ht="23.1" customHeight="1"/>
    <row r="461" ht="23.1" customHeight="1"/>
    <row r="462" ht="23.1" customHeight="1"/>
    <row r="463" ht="23.1" customHeight="1"/>
    <row r="464" ht="23.1" customHeight="1"/>
    <row r="465" ht="23.1" customHeight="1"/>
    <row r="466" ht="23.1" customHeight="1"/>
    <row r="467" ht="23.1" customHeight="1"/>
    <row r="468" ht="23.1" customHeight="1"/>
    <row r="469" ht="23.1" customHeight="1"/>
    <row r="470" ht="23.1" customHeight="1"/>
    <row r="471" ht="23.1" customHeight="1"/>
    <row r="472" ht="23.1" customHeight="1"/>
    <row r="473" ht="23.1" customHeight="1"/>
    <row r="474" ht="23.1" customHeight="1"/>
    <row r="475" ht="23.1" customHeight="1"/>
    <row r="476" ht="23.1" customHeight="1"/>
    <row r="477" ht="23.1" customHeight="1"/>
    <row r="478" ht="23.1" customHeight="1"/>
    <row r="479" ht="23.1" customHeight="1"/>
    <row r="480" ht="23.1" customHeight="1"/>
    <row r="481" ht="23.1" customHeight="1"/>
    <row r="482" ht="23.1" customHeight="1"/>
    <row r="483" ht="23.1" customHeight="1"/>
    <row r="484" ht="23.1" customHeight="1"/>
    <row r="485" ht="23.1" customHeight="1"/>
    <row r="486" ht="23.1" customHeight="1"/>
    <row r="487" ht="23.1" customHeight="1"/>
    <row r="488" ht="23.1" customHeight="1"/>
    <row r="489" ht="23.1" customHeight="1"/>
    <row r="490" ht="23.1" customHeight="1"/>
    <row r="491" ht="23.1" customHeight="1"/>
    <row r="492" ht="23.1" customHeight="1"/>
    <row r="493" ht="23.1" customHeight="1"/>
    <row r="494" ht="23.1" customHeight="1"/>
    <row r="495" ht="23.1" customHeight="1"/>
    <row r="496" ht="23.1" customHeight="1"/>
    <row r="497" ht="23.1" customHeight="1"/>
    <row r="498" ht="23.1" customHeight="1"/>
    <row r="499" ht="23.1" customHeight="1"/>
    <row r="500" ht="23.1" customHeight="1"/>
    <row r="501" ht="23.1" customHeight="1"/>
    <row r="502" ht="23.1" customHeight="1"/>
    <row r="503" ht="23.1" customHeight="1"/>
    <row r="504" ht="23.1" customHeight="1"/>
    <row r="505" ht="23.1" customHeight="1"/>
    <row r="506" ht="23.1" customHeight="1"/>
    <row r="507" ht="23.1" customHeight="1"/>
    <row r="508" ht="23.1" customHeight="1"/>
    <row r="509" ht="23.1" customHeight="1"/>
    <row r="510" ht="23.1" customHeight="1"/>
    <row r="511" ht="23.1" customHeight="1"/>
    <row r="512" ht="23.1" customHeight="1"/>
    <row r="513" ht="23.1" customHeight="1"/>
    <row r="514" ht="23.1" customHeight="1"/>
    <row r="515" ht="23.1" customHeight="1"/>
    <row r="516" ht="23.1" customHeight="1"/>
    <row r="517" ht="23.1" customHeight="1"/>
    <row r="518" ht="23.1" customHeight="1"/>
    <row r="519" ht="23.1" customHeight="1"/>
    <row r="520" ht="23.1" customHeight="1"/>
    <row r="521" ht="23.1" customHeight="1"/>
    <row r="522" ht="23.1" customHeight="1"/>
    <row r="523" ht="23.1" customHeight="1"/>
    <row r="524" ht="23.1" customHeight="1"/>
    <row r="525" ht="23.1" customHeight="1"/>
    <row r="526" ht="23.1" customHeight="1"/>
    <row r="527" ht="23.1" customHeight="1"/>
    <row r="528" ht="23.1" customHeight="1"/>
    <row r="529" ht="23.1" customHeight="1"/>
    <row r="530" ht="23.1" customHeight="1"/>
    <row r="531" ht="23.1" customHeight="1"/>
    <row r="532" ht="23.1" customHeight="1"/>
    <row r="533" ht="23.1" customHeight="1"/>
    <row r="534" ht="23.1" customHeight="1"/>
    <row r="535" ht="23.1" customHeight="1"/>
    <row r="536" ht="23.1" customHeight="1"/>
    <row r="537" ht="23.1" customHeight="1"/>
    <row r="538" ht="23.1" customHeight="1"/>
    <row r="539" ht="23.1" customHeight="1"/>
    <row r="540" ht="23.1" customHeight="1"/>
    <row r="541" ht="23.1" customHeight="1"/>
    <row r="542" ht="23.1" customHeight="1"/>
    <row r="543" ht="23.1" customHeight="1"/>
    <row r="544" ht="23.1" customHeight="1"/>
    <row r="545" ht="23.1" customHeight="1"/>
    <row r="546" ht="23.1" customHeight="1"/>
    <row r="547" ht="23.1" customHeight="1"/>
    <row r="548" ht="23.1" customHeight="1"/>
    <row r="549" ht="23.1" customHeight="1"/>
    <row r="550" ht="23.1" customHeight="1"/>
    <row r="551" ht="23.1" customHeight="1"/>
    <row r="552" ht="23.1" customHeight="1"/>
    <row r="553" ht="23.1" customHeight="1"/>
    <row r="554" ht="23.1" customHeight="1"/>
    <row r="555" ht="23.1" customHeight="1"/>
    <row r="556" ht="23.1" customHeight="1"/>
    <row r="557" ht="23.1" customHeight="1"/>
    <row r="558" ht="23.1" customHeight="1"/>
    <row r="559" ht="23.1" customHeight="1"/>
    <row r="560" ht="23.1" customHeight="1"/>
    <row r="561" ht="23.1" customHeight="1"/>
    <row r="562" ht="23.1" customHeight="1"/>
    <row r="563" ht="23.1" customHeight="1"/>
    <row r="564" ht="23.1" customHeight="1"/>
    <row r="565" ht="23.1" customHeight="1"/>
    <row r="566" ht="23.1" customHeight="1"/>
    <row r="567" ht="23.1" customHeight="1"/>
    <row r="568" ht="23.1" customHeight="1"/>
    <row r="569" ht="23.1" customHeight="1"/>
    <row r="570" ht="23.1" customHeight="1"/>
    <row r="571" ht="23.1" customHeight="1"/>
    <row r="572" ht="23.1" customHeight="1"/>
    <row r="573" ht="23.1" customHeight="1"/>
    <row r="574" ht="23.1" customHeight="1"/>
    <row r="575" ht="23.1" customHeight="1"/>
    <row r="576" ht="23.1" customHeight="1"/>
    <row r="577" ht="23.1" customHeight="1"/>
    <row r="578" ht="23.1" customHeight="1"/>
    <row r="579" ht="23.1" customHeight="1"/>
    <row r="580" ht="23.1" customHeight="1"/>
    <row r="581" ht="23.1" customHeight="1"/>
    <row r="582" ht="23.1" customHeight="1"/>
    <row r="583" ht="23.1" customHeight="1"/>
    <row r="584" ht="23.1" customHeight="1"/>
    <row r="585" ht="23.1" customHeight="1"/>
    <row r="586" ht="23.1" customHeight="1"/>
    <row r="587" ht="23.1" customHeight="1"/>
    <row r="588" ht="23.1" customHeight="1"/>
    <row r="589" ht="23.1" customHeight="1"/>
    <row r="590" ht="23.1" customHeight="1"/>
    <row r="591" ht="23.1" customHeight="1"/>
    <row r="592" ht="23.1" customHeight="1"/>
    <row r="593" ht="23.1" customHeight="1"/>
    <row r="594" ht="23.1" customHeight="1"/>
    <row r="595" ht="23.1" customHeight="1"/>
    <row r="596" ht="23.1" customHeight="1"/>
    <row r="597" ht="23.1" customHeight="1"/>
    <row r="598" ht="23.1" customHeight="1"/>
    <row r="599" ht="23.1" customHeight="1"/>
    <row r="600" ht="23.1" customHeight="1"/>
    <row r="601" ht="23.1" customHeight="1"/>
    <row r="602" ht="23.1" customHeight="1"/>
    <row r="603" ht="23.1" customHeight="1"/>
    <row r="604" ht="23.1" customHeight="1"/>
    <row r="605" ht="23.1" customHeight="1"/>
    <row r="606" ht="23.1" customHeight="1"/>
    <row r="607" ht="23.1" customHeight="1"/>
    <row r="608" ht="23.1" customHeight="1"/>
    <row r="609" ht="23.1" customHeight="1"/>
    <row r="610" ht="23.1" customHeight="1"/>
    <row r="611" ht="23.1" customHeight="1"/>
    <row r="612" ht="23.1" customHeight="1"/>
    <row r="613" ht="23.1" customHeight="1"/>
    <row r="614" ht="23.1" customHeight="1"/>
    <row r="615" ht="23.1" customHeight="1"/>
    <row r="616" ht="23.1" customHeight="1"/>
    <row r="617" ht="23.1" customHeight="1"/>
    <row r="618" ht="23.1" customHeight="1"/>
    <row r="619" ht="23.1" customHeight="1"/>
    <row r="620" ht="23.1" customHeight="1"/>
    <row r="621" ht="23.1" customHeight="1"/>
    <row r="622" ht="23.1" customHeight="1"/>
    <row r="623" ht="23.1" customHeight="1"/>
    <row r="624" ht="23.1" customHeight="1"/>
    <row r="625" ht="23.1" customHeight="1"/>
    <row r="626" ht="23.1" customHeight="1"/>
    <row r="627" ht="23.1" customHeight="1"/>
    <row r="628" ht="23.1" customHeight="1"/>
    <row r="629" ht="23.1" customHeight="1"/>
    <row r="630" ht="23.1" customHeight="1"/>
    <row r="631" ht="23.1" customHeight="1"/>
    <row r="632" ht="23.1" customHeight="1"/>
    <row r="633" ht="23.1" customHeight="1"/>
    <row r="634" ht="23.1" customHeight="1"/>
    <row r="635" ht="23.1" customHeight="1"/>
    <row r="636" ht="23.1" customHeight="1"/>
    <row r="637" ht="23.1" customHeight="1"/>
    <row r="638" ht="23.1" customHeight="1"/>
    <row r="639" ht="23.1" customHeight="1"/>
    <row r="640" ht="23.1" customHeight="1"/>
    <row r="641" ht="23.1" customHeight="1"/>
    <row r="642" ht="23.1" customHeight="1"/>
    <row r="643" ht="23.1" customHeight="1"/>
    <row r="644" ht="23.1" customHeight="1"/>
    <row r="645" ht="23.1" customHeight="1"/>
    <row r="646" ht="23.1" customHeight="1"/>
    <row r="647" ht="23.1" customHeight="1"/>
    <row r="648" ht="23.1" customHeight="1"/>
    <row r="649" ht="23.1" customHeight="1"/>
    <row r="650" ht="23.1" customHeight="1"/>
    <row r="651" ht="23.1" customHeight="1"/>
    <row r="652" ht="23.1" customHeight="1"/>
    <row r="653" ht="23.1" customHeight="1"/>
    <row r="654" ht="23.1" customHeight="1"/>
    <row r="655" ht="23.1" customHeight="1"/>
    <row r="656" ht="23.1" customHeight="1"/>
    <row r="657" ht="23.1" customHeight="1"/>
    <row r="658" ht="23.1" customHeight="1"/>
    <row r="659" ht="23.1" customHeight="1"/>
    <row r="660" ht="23.1" customHeight="1"/>
    <row r="661" ht="23.1" customHeight="1"/>
    <row r="662" ht="23.1" customHeight="1"/>
    <row r="663" ht="23.1" customHeight="1"/>
    <row r="664" ht="23.1" customHeight="1"/>
    <row r="665" ht="23.1" customHeight="1"/>
    <row r="666" ht="23.1" customHeight="1"/>
    <row r="667" ht="23.1" customHeight="1"/>
    <row r="668" ht="23.1" customHeight="1"/>
    <row r="669" ht="23.1" customHeight="1"/>
    <row r="670" ht="23.1" customHeight="1"/>
    <row r="671" ht="23.1" customHeight="1"/>
    <row r="672" ht="23.1" customHeight="1"/>
    <row r="673" ht="23.1" customHeight="1"/>
    <row r="674" ht="23.1" customHeight="1"/>
    <row r="675" ht="23.1" customHeight="1"/>
    <row r="676" ht="23.1" customHeight="1"/>
    <row r="677" ht="23.1" customHeight="1"/>
    <row r="678" ht="23.1" customHeight="1"/>
    <row r="679" ht="23.1" customHeight="1"/>
    <row r="680" ht="23.1" customHeight="1"/>
    <row r="681" ht="23.1" customHeight="1"/>
    <row r="682" ht="23.1" customHeight="1"/>
    <row r="683" ht="23.1" customHeight="1"/>
    <row r="684" ht="23.1" customHeight="1"/>
    <row r="685" ht="23.1" customHeight="1"/>
    <row r="686" ht="23.1" customHeight="1"/>
    <row r="687" ht="23.1" customHeight="1"/>
    <row r="688" ht="23.1" customHeight="1"/>
    <row r="689" ht="23.1" customHeight="1"/>
    <row r="690" ht="23.1" customHeight="1"/>
    <row r="691" ht="23.1" customHeight="1"/>
    <row r="692" ht="23.1" customHeight="1"/>
    <row r="693" ht="23.1" customHeight="1"/>
    <row r="694" ht="23.1" customHeight="1"/>
    <row r="695" ht="23.1" customHeight="1"/>
    <row r="696" ht="23.1" customHeight="1"/>
    <row r="697" ht="23.1" customHeight="1"/>
    <row r="698" ht="23.1" customHeight="1"/>
    <row r="699" ht="23.1" customHeight="1"/>
    <row r="700" ht="23.1" customHeight="1"/>
    <row r="701" ht="23.1" customHeight="1"/>
    <row r="702" ht="23.1" customHeight="1"/>
    <row r="703" ht="23.1" customHeight="1"/>
    <row r="704" ht="23.1" customHeight="1"/>
    <row r="705" ht="23.1" customHeight="1"/>
    <row r="706" ht="23.1" customHeight="1"/>
    <row r="707" ht="23.1" customHeight="1"/>
    <row r="708" ht="23.1" customHeight="1"/>
    <row r="709" ht="23.1" customHeight="1"/>
    <row r="710" ht="23.1" customHeight="1"/>
    <row r="711" ht="23.1" customHeight="1"/>
    <row r="712" ht="23.1" customHeight="1"/>
    <row r="713" ht="23.1" customHeight="1"/>
    <row r="714" ht="23.1" customHeight="1"/>
    <row r="715" ht="23.1" customHeight="1"/>
    <row r="716" ht="23.1" customHeight="1"/>
    <row r="717" ht="23.1" customHeight="1"/>
    <row r="718" ht="23.1" customHeight="1"/>
    <row r="719" ht="23.1" customHeight="1"/>
    <row r="720" ht="23.1" customHeight="1"/>
    <row r="721" ht="23.1" customHeight="1"/>
    <row r="722" ht="23.1" customHeight="1"/>
    <row r="723" ht="23.1" customHeight="1"/>
    <row r="724" ht="23.1" customHeight="1"/>
    <row r="725" ht="23.1" customHeight="1"/>
    <row r="726" ht="23.1" customHeight="1"/>
    <row r="727" ht="23.1" customHeight="1"/>
    <row r="728" ht="23.1" customHeight="1"/>
    <row r="729" ht="23.1" customHeight="1"/>
    <row r="730" ht="23.1" customHeight="1"/>
    <row r="731" ht="23.1" customHeight="1"/>
    <row r="732" ht="23.1" customHeight="1"/>
    <row r="733" ht="23.1" customHeight="1"/>
    <row r="734" ht="23.1" customHeight="1"/>
    <row r="735" ht="23.1" customHeight="1"/>
    <row r="736" ht="23.1" customHeight="1"/>
    <row r="737" ht="23.1" customHeight="1"/>
    <row r="738" ht="23.1" customHeight="1"/>
    <row r="739" ht="23.1" customHeight="1"/>
    <row r="740" ht="23.1" customHeight="1"/>
    <row r="741" ht="23.1" customHeight="1"/>
    <row r="742" ht="23.1" customHeight="1"/>
    <row r="743" ht="23.1" customHeight="1"/>
    <row r="744" ht="23.1" customHeight="1"/>
    <row r="745" ht="23.1" customHeight="1"/>
    <row r="746" ht="23.1" customHeight="1"/>
    <row r="747" ht="23.1" customHeight="1"/>
    <row r="748" ht="23.1" customHeight="1"/>
    <row r="749" ht="23.1" customHeight="1"/>
    <row r="750" ht="23.1" customHeight="1"/>
    <row r="751" ht="23.1" customHeight="1"/>
    <row r="752" ht="23.1" customHeight="1"/>
    <row r="753" ht="23.1" customHeight="1"/>
    <row r="754" ht="23.1" customHeight="1"/>
    <row r="755" ht="23.1" customHeight="1"/>
    <row r="756" ht="23.1" customHeight="1"/>
    <row r="757" ht="23.1" customHeight="1"/>
    <row r="758" ht="23.1" customHeight="1"/>
    <row r="759" ht="23.1" customHeight="1"/>
    <row r="760" ht="23.1" customHeight="1"/>
    <row r="761" ht="23.1" customHeight="1"/>
    <row r="762" ht="23.1" customHeight="1"/>
    <row r="763" ht="23.1" customHeight="1"/>
    <row r="764" ht="23.1" customHeight="1"/>
    <row r="765" ht="23.1" customHeight="1"/>
    <row r="766" ht="23.1" customHeight="1"/>
    <row r="767" ht="23.1" customHeight="1"/>
    <row r="768" ht="23.1" customHeight="1"/>
    <row r="769" ht="23.1" customHeight="1"/>
    <row r="770" ht="23.1" customHeight="1"/>
    <row r="771" ht="23.1" customHeight="1"/>
    <row r="772" ht="23.1" customHeight="1"/>
    <row r="773" ht="23.1" customHeight="1"/>
    <row r="774" ht="23.1" customHeight="1"/>
    <row r="775" ht="23.1" customHeight="1"/>
    <row r="776" ht="23.1" customHeight="1"/>
    <row r="777" ht="23.1" customHeight="1"/>
    <row r="778" ht="23.1" customHeight="1"/>
    <row r="779" ht="23.1" customHeight="1"/>
    <row r="780" ht="23.1" customHeight="1"/>
    <row r="781" ht="23.1" customHeight="1"/>
    <row r="782" ht="23.1" customHeight="1"/>
    <row r="783" ht="23.1" customHeight="1"/>
    <row r="784" ht="23.1" customHeight="1"/>
    <row r="785" ht="23.1" customHeight="1"/>
    <row r="786" ht="23.1" customHeight="1"/>
    <row r="787" ht="23.1" customHeight="1"/>
    <row r="788" ht="23.1" customHeight="1"/>
    <row r="789" ht="23.1" customHeight="1"/>
    <row r="790" ht="23.1" customHeight="1"/>
    <row r="791" ht="23.1" customHeight="1"/>
    <row r="792" ht="23.1" customHeight="1"/>
    <row r="793" ht="23.1" customHeight="1"/>
    <row r="794" ht="23.1" customHeight="1"/>
    <row r="795" ht="23.1" customHeight="1"/>
    <row r="796" ht="23.1" customHeight="1"/>
    <row r="797" ht="23.1" customHeight="1"/>
    <row r="798" ht="23.1" customHeight="1"/>
    <row r="799" ht="23.1" customHeight="1"/>
    <row r="800" ht="23.1" customHeight="1"/>
    <row r="801" ht="23.1" customHeight="1"/>
    <row r="802" ht="23.1" customHeight="1"/>
    <row r="803" ht="23.1" customHeight="1"/>
    <row r="804" ht="23.1" customHeight="1"/>
    <row r="805" ht="23.1" customHeight="1"/>
    <row r="806" ht="23.1" customHeight="1"/>
    <row r="807" ht="23.1" customHeight="1"/>
    <row r="808" ht="23.1" customHeight="1"/>
    <row r="809" ht="23.1" customHeight="1"/>
    <row r="810" ht="23.1" customHeight="1"/>
    <row r="811" ht="23.1" customHeight="1"/>
    <row r="812" ht="23.1" customHeight="1"/>
    <row r="813" ht="23.1" customHeight="1"/>
    <row r="814" ht="23.1" customHeight="1"/>
    <row r="815" ht="23.1" customHeight="1"/>
    <row r="816" ht="23.1" customHeight="1"/>
    <row r="817" ht="23.1" customHeight="1"/>
    <row r="818" ht="23.1" customHeight="1"/>
    <row r="819" ht="23.1" customHeight="1"/>
    <row r="820" ht="23.1" customHeight="1"/>
    <row r="821" ht="23.1" customHeight="1"/>
    <row r="822" ht="23.1" customHeight="1"/>
    <row r="823" ht="23.1" customHeight="1"/>
    <row r="824" ht="23.1" customHeight="1"/>
    <row r="825" ht="23.1" customHeight="1"/>
    <row r="826" ht="23.1" customHeight="1"/>
    <row r="827" ht="23.1" customHeight="1"/>
    <row r="828" ht="23.1" customHeight="1"/>
    <row r="829" ht="23.1" customHeight="1"/>
    <row r="830" ht="23.1" customHeight="1"/>
    <row r="831" ht="23.1" customHeight="1"/>
    <row r="832" ht="23.1" customHeight="1"/>
    <row r="833" ht="23.1" customHeight="1"/>
    <row r="834" ht="23.1" customHeight="1"/>
    <row r="835" ht="23.1" customHeight="1"/>
    <row r="836" ht="23.1" customHeight="1"/>
    <row r="837" ht="23.1" customHeight="1"/>
    <row r="838" ht="23.1" customHeight="1"/>
    <row r="839" ht="23.1" customHeight="1"/>
    <row r="840" ht="23.1" customHeight="1"/>
    <row r="841" ht="23.1" customHeight="1"/>
    <row r="842" ht="23.1" customHeight="1"/>
    <row r="843" ht="23.1" customHeight="1"/>
    <row r="844" ht="23.1" customHeight="1"/>
    <row r="845" ht="23.1" customHeight="1"/>
    <row r="846" ht="23.1" customHeight="1"/>
    <row r="847" ht="23.1" customHeight="1"/>
    <row r="848" ht="23.1" customHeight="1"/>
    <row r="849" ht="23.1" customHeight="1"/>
    <row r="850" ht="23.1" customHeight="1"/>
    <row r="851" ht="23.1" customHeight="1"/>
    <row r="852" ht="23.1" customHeight="1"/>
    <row r="853" ht="23.1" customHeight="1"/>
    <row r="854" ht="23.1" customHeight="1"/>
    <row r="855" ht="23.1" customHeight="1"/>
    <row r="856" ht="23.1" customHeight="1"/>
    <row r="857" ht="23.1" customHeight="1"/>
    <row r="858" ht="23.1" customHeight="1"/>
    <row r="859" ht="23.1" customHeight="1"/>
    <row r="860" ht="23.1" customHeight="1"/>
    <row r="861" ht="23.1" customHeight="1"/>
    <row r="862" ht="23.1" customHeight="1"/>
    <row r="863" ht="23.1" customHeight="1"/>
    <row r="864" ht="23.1" customHeight="1"/>
    <row r="865" ht="23.1" customHeight="1"/>
    <row r="866" ht="23.1" customHeight="1"/>
    <row r="867" ht="23.1" customHeight="1"/>
    <row r="868" ht="23.1" customHeight="1"/>
    <row r="869" ht="23.1" customHeight="1"/>
    <row r="870" ht="23.1" customHeight="1"/>
    <row r="871" ht="23.1" customHeight="1"/>
    <row r="872" ht="23.1" customHeight="1"/>
    <row r="873" ht="23.1" customHeight="1"/>
    <row r="874" ht="23.1" customHeight="1"/>
    <row r="875" ht="23.1" customHeight="1"/>
    <row r="876" ht="23.1" customHeight="1"/>
    <row r="877" ht="23.1" customHeight="1"/>
    <row r="878" ht="23.1" customHeight="1"/>
    <row r="879" ht="23.1" customHeight="1"/>
    <row r="880" ht="23.1" customHeight="1"/>
    <row r="881" ht="23.1" customHeight="1"/>
    <row r="882" ht="23.1" customHeight="1"/>
    <row r="883" ht="23.1" customHeight="1"/>
    <row r="884" ht="23.1" customHeight="1"/>
  </sheetData>
  <sheetProtection algorithmName="SHA-512" hashValue="SnzH7G/sxwvUE9VzUgN/k4e/9lIFmKNXMTfeq+DjoIoCCvWvxT0cyI1X9266QztNRfDCJHLBUPor60XtPbijOg==" saltValue="QajL1ujL0iPgQXUltN/g7A==" spinCount="100000" sheet="1" objects="1" scenarios="1"/>
  <mergeCells count="27">
    <mergeCell ref="E127:F127"/>
    <mergeCell ref="I127:J127"/>
    <mergeCell ref="E86:F86"/>
    <mergeCell ref="I86:J86"/>
    <mergeCell ref="E291:F291"/>
    <mergeCell ref="I291:J291"/>
    <mergeCell ref="E250:F250"/>
    <mergeCell ref="I250:J250"/>
    <mergeCell ref="A166:J167"/>
    <mergeCell ref="A207:J208"/>
    <mergeCell ref="A248:J249"/>
    <mergeCell ref="A289:J290"/>
    <mergeCell ref="I209:J209"/>
    <mergeCell ref="E209:F209"/>
    <mergeCell ref="E168:F168"/>
    <mergeCell ref="I168:J168"/>
    <mergeCell ref="J2:J3"/>
    <mergeCell ref="A1:I3"/>
    <mergeCell ref="A43:J44"/>
    <mergeCell ref="A84:J85"/>
    <mergeCell ref="A125:J126"/>
    <mergeCell ref="E45:F45"/>
    <mergeCell ref="I45:J45"/>
    <mergeCell ref="I4:J4"/>
    <mergeCell ref="C4:D4"/>
    <mergeCell ref="E4:F4"/>
    <mergeCell ref="G4:H4"/>
  </mergeCells>
  <pageMargins left="0.25" right="0.25" top="0.75" bottom="0.75" header="0.3" footer="0.3"/>
  <pageSetup paperSize="9" scale="1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C7A36-8F36-4BA6-90B9-A848EA9C1F84}">
  <sheetPr>
    <pageSetUpPr fitToPage="1"/>
  </sheetPr>
  <dimension ref="A1:BF176"/>
  <sheetViews>
    <sheetView topLeftCell="A19" zoomScale="85" zoomScaleNormal="85" workbookViewId="0">
      <selection activeCell="E29" sqref="E29"/>
    </sheetView>
  </sheetViews>
  <sheetFormatPr defaultRowHeight="15"/>
  <cols>
    <col min="1" max="1" width="3.7109375" style="74" customWidth="1"/>
    <col min="2" max="2" width="37.7109375" customWidth="1"/>
    <col min="3" max="10" width="13.7109375" customWidth="1"/>
    <col min="11" max="66" width="9.7109375" customWidth="1"/>
    <col min="67" max="74" width="10.7109375" customWidth="1"/>
  </cols>
  <sheetData>
    <row r="1" spans="1:17" ht="15" customHeight="1">
      <c r="A1" s="140" t="s">
        <v>264</v>
      </c>
      <c r="B1" s="140"/>
      <c r="C1" s="140"/>
      <c r="D1" s="140"/>
      <c r="E1" s="140"/>
      <c r="F1" s="140"/>
      <c r="G1" s="140"/>
      <c r="H1" s="140"/>
      <c r="I1" s="140"/>
      <c r="J1" s="68" t="s">
        <v>14</v>
      </c>
      <c r="K1" s="6"/>
      <c r="L1" s="6"/>
      <c r="M1" s="6"/>
      <c r="N1" s="6"/>
      <c r="O1" s="6"/>
      <c r="P1" s="6"/>
      <c r="Q1" s="6"/>
    </row>
    <row r="2" spans="1:17" ht="15" customHeight="1">
      <c r="A2" s="140"/>
      <c r="B2" s="140"/>
      <c r="C2" s="140"/>
      <c r="D2" s="140"/>
      <c r="E2" s="140"/>
      <c r="F2" s="140"/>
      <c r="G2" s="140"/>
      <c r="H2" s="140"/>
      <c r="I2" s="140"/>
      <c r="J2" s="141" t="s">
        <v>301</v>
      </c>
      <c r="K2" s="6"/>
      <c r="L2" s="6"/>
      <c r="M2" s="6"/>
      <c r="N2" s="6"/>
      <c r="O2" s="6"/>
      <c r="P2" s="6"/>
      <c r="Q2" s="6"/>
    </row>
    <row r="3" spans="1:17" ht="15" customHeight="1">
      <c r="A3" s="139"/>
      <c r="B3" s="139"/>
      <c r="C3" s="139"/>
      <c r="D3" s="139"/>
      <c r="E3" s="139"/>
      <c r="F3" s="139"/>
      <c r="G3" s="139"/>
      <c r="H3" s="139"/>
      <c r="I3" s="139"/>
      <c r="J3" s="142"/>
    </row>
    <row r="4" spans="1:17" ht="50.1" customHeight="1">
      <c r="A4" s="18"/>
      <c r="B4" s="49" t="s">
        <v>47</v>
      </c>
      <c r="C4" s="147" t="s">
        <v>144</v>
      </c>
      <c r="D4" s="148"/>
      <c r="E4" s="147" t="s">
        <v>252</v>
      </c>
      <c r="F4" s="148"/>
      <c r="G4" s="49" t="str">
        <f xml:space="preserve"> "Факт Январь -" &amp;$J2&amp; " 2023 г"</f>
        <v>Факт Январь -Сентябрь 2023 г</v>
      </c>
      <c r="H4" s="49" t="str">
        <f xml:space="preserve"> "Факт Январь -" &amp;$J2&amp; " 2024 г"</f>
        <v>Факт Январь -Сентябрь 2024 г</v>
      </c>
      <c r="I4" s="147" t="s">
        <v>252</v>
      </c>
      <c r="J4" s="148"/>
    </row>
    <row r="5" spans="1:17" ht="47.25" customHeight="1">
      <c r="A5" s="93"/>
      <c r="B5" s="64"/>
      <c r="C5" s="49" t="str">
        <f>"Факт " &amp;$J2 &amp; " 2023 г"</f>
        <v>Факт Сентябрь 2023 г</v>
      </c>
      <c r="D5" s="49" t="str">
        <f xml:space="preserve"> "Факт " &amp;$J2&amp; " 2024 г"</f>
        <v>Факт Сентябрь 2024 г</v>
      </c>
      <c r="E5" s="28" t="s">
        <v>3</v>
      </c>
      <c r="F5" s="12" t="s">
        <v>4</v>
      </c>
      <c r="G5" s="20"/>
      <c r="H5" s="20"/>
      <c r="I5" s="28" t="s">
        <v>3</v>
      </c>
      <c r="J5" s="12" t="s">
        <v>4</v>
      </c>
    </row>
    <row r="6" spans="1:17" ht="15" customHeight="1">
      <c r="A6" s="18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7" ht="24.95" customHeight="1">
      <c r="A7" s="18">
        <v>1</v>
      </c>
      <c r="B7" s="29" t="s">
        <v>31</v>
      </c>
      <c r="C7" s="19">
        <f>IF(C29+C51+C73+C95+C117+C139+C161=0,"",C29+C51+C73+C95+C117+C139+C161)</f>
        <v>119</v>
      </c>
      <c r="D7" s="19">
        <f>IF(D29+D51+D73+D95+D117+D139+D161=0,"",D29+D51+D73+D95+D117+D139+D161)</f>
        <v>149</v>
      </c>
      <c r="E7" s="19">
        <f>IFERROR(IF(D7-C7, D7-C7,""),"")</f>
        <v>30</v>
      </c>
      <c r="F7" s="42">
        <f>IFERROR(IF(D7/C7, D7/C7,""),"")</f>
        <v>1.2521008403361344</v>
      </c>
      <c r="G7" s="19">
        <f>IF(G29+G51+G73+G95+G117+G139+G161=0,"",G29+G51+G73+G95+G117+G139+G161)</f>
        <v>119</v>
      </c>
      <c r="H7" s="19">
        <f>IF(H29+H51+H73+H95+H117+H139+H161=0,"",H29+H51+H73+H95+H117+H139+H161)</f>
        <v>149</v>
      </c>
      <c r="I7" s="19">
        <f>IFERROR(IF(H7-G7, H7-G7,""),"")</f>
        <v>30</v>
      </c>
      <c r="J7" s="42">
        <f>IFERROR(IF(H7/G7, H7/G7,""),"")</f>
        <v>1.2521008403361344</v>
      </c>
    </row>
    <row r="8" spans="1:17" ht="24.95" customHeight="1">
      <c r="A8" s="18">
        <v>2</v>
      </c>
      <c r="B8" s="15" t="s">
        <v>48</v>
      </c>
      <c r="C8" s="19">
        <f t="shared" ref="C8:D8" si="0">IF(C30+C52+C74+C96+C118+C140+C162=0,"",C30+C52+C74+C96+C118+C140+C162)</f>
        <v>35</v>
      </c>
      <c r="D8" s="19">
        <f t="shared" si="0"/>
        <v>37</v>
      </c>
      <c r="E8" s="19">
        <f t="shared" ref="E8:E22" si="1">IFERROR(IF(D8-C8, D8-C8,""),"")</f>
        <v>2</v>
      </c>
      <c r="F8" s="42">
        <f t="shared" ref="F8:F22" si="2">IFERROR(IF(D8/C8, D8/C8,""),"")</f>
        <v>1.0571428571428572</v>
      </c>
      <c r="G8" s="19">
        <f t="shared" ref="G8:H8" si="3">IF(G30+G52+G74+G96+G118+G140+G162=0,"",G30+G52+G74+G96+G118+G140+G162)</f>
        <v>35</v>
      </c>
      <c r="H8" s="19">
        <f t="shared" si="3"/>
        <v>37</v>
      </c>
      <c r="I8" s="19">
        <f t="shared" ref="I8:I22" si="4">IFERROR(IF(H8-G8, H8-G8,""),"")</f>
        <v>2</v>
      </c>
      <c r="J8" s="42">
        <f t="shared" ref="J8:J22" si="5">IFERROR(IF(H8/G8, H8/G8,""),"")</f>
        <v>1.0571428571428572</v>
      </c>
    </row>
    <row r="9" spans="1:17" ht="24.95" customHeight="1">
      <c r="A9" s="18">
        <v>3</v>
      </c>
      <c r="B9" s="15" t="s">
        <v>49</v>
      </c>
      <c r="C9" s="19">
        <f t="shared" ref="C9:D9" si="6">IF(C31+C53+C75+C97+C119+C141+C163=0,"",C31+C53+C75+C97+C119+C141+C163)</f>
        <v>58</v>
      </c>
      <c r="D9" s="19">
        <f t="shared" si="6"/>
        <v>77</v>
      </c>
      <c r="E9" s="19">
        <f t="shared" si="1"/>
        <v>19</v>
      </c>
      <c r="F9" s="42">
        <f t="shared" si="2"/>
        <v>1.3275862068965518</v>
      </c>
      <c r="G9" s="19">
        <f t="shared" ref="G9:H9" si="7">IF(G31+G53+G75+G97+G119+G141+G163=0,"",G31+G53+G75+G97+G119+G141+G163)</f>
        <v>58</v>
      </c>
      <c r="H9" s="19">
        <f t="shared" si="7"/>
        <v>77</v>
      </c>
      <c r="I9" s="19">
        <f t="shared" si="4"/>
        <v>19</v>
      </c>
      <c r="J9" s="42">
        <f t="shared" si="5"/>
        <v>1.3275862068965518</v>
      </c>
    </row>
    <row r="10" spans="1:17" ht="24.95" customHeight="1">
      <c r="A10" s="18">
        <v>4</v>
      </c>
      <c r="B10" s="15" t="s">
        <v>34</v>
      </c>
      <c r="C10" s="19">
        <f t="shared" ref="C10:D10" si="8">IF(C32+C54+C76+C98+C120+C142+C164=0,"",C32+C54+C76+C98+C120+C142+C164)</f>
        <v>2</v>
      </c>
      <c r="D10" s="19">
        <f t="shared" si="8"/>
        <v>5</v>
      </c>
      <c r="E10" s="19">
        <f t="shared" si="1"/>
        <v>3</v>
      </c>
      <c r="F10" s="42">
        <f t="shared" si="2"/>
        <v>2.5</v>
      </c>
      <c r="G10" s="19">
        <f t="shared" ref="G10:H10" si="9">IF(G32+G54+G76+G98+G120+G142+G164=0,"",G32+G54+G76+G98+G120+G142+G164)</f>
        <v>2</v>
      </c>
      <c r="H10" s="19">
        <f t="shared" si="9"/>
        <v>5</v>
      </c>
      <c r="I10" s="19">
        <f t="shared" si="4"/>
        <v>3</v>
      </c>
      <c r="J10" s="42">
        <f t="shared" si="5"/>
        <v>2.5</v>
      </c>
    </row>
    <row r="11" spans="1:17" ht="24.95" customHeight="1">
      <c r="A11" s="18">
        <v>5</v>
      </c>
      <c r="B11" s="15" t="s">
        <v>35</v>
      </c>
      <c r="C11" s="19">
        <f t="shared" ref="C11:D11" si="10">IF(C33+C55+C77+C99+C121+C143+C165=0,"",C33+C55+C77+C99+C121+C143+C165)</f>
        <v>26</v>
      </c>
      <c r="D11" s="19">
        <f t="shared" si="10"/>
        <v>29</v>
      </c>
      <c r="E11" s="19">
        <f t="shared" si="1"/>
        <v>3</v>
      </c>
      <c r="F11" s="42">
        <f t="shared" si="2"/>
        <v>1.1153846153846154</v>
      </c>
      <c r="G11" s="19">
        <f t="shared" ref="G11:H11" si="11">IF(G33+G55+G77+G99+G121+G143+G165=0,"",G33+G55+G77+G99+G121+G143+G165)</f>
        <v>26</v>
      </c>
      <c r="H11" s="19">
        <f t="shared" si="11"/>
        <v>29</v>
      </c>
      <c r="I11" s="19">
        <f t="shared" si="4"/>
        <v>3</v>
      </c>
      <c r="J11" s="42">
        <f t="shared" si="5"/>
        <v>1.1153846153846154</v>
      </c>
    </row>
    <row r="12" spans="1:17" ht="24.95" customHeight="1">
      <c r="A12" s="18">
        <v>6</v>
      </c>
      <c r="B12" s="15" t="s">
        <v>36</v>
      </c>
      <c r="C12" s="19" t="str">
        <f t="shared" ref="C12:D12" si="12">IF(C34+C56+C78+C100+C122+C144+C166=0,"",C34+C56+C78+C100+C122+C144+C166)</f>
        <v/>
      </c>
      <c r="D12" s="19" t="str">
        <f t="shared" si="12"/>
        <v/>
      </c>
      <c r="E12" s="19" t="str">
        <f t="shared" si="1"/>
        <v/>
      </c>
      <c r="F12" s="42" t="str">
        <f t="shared" si="2"/>
        <v/>
      </c>
      <c r="G12" s="19" t="str">
        <f t="shared" ref="G12:H12" si="13">IF(G34+G56+G78+G100+G122+G144+G166=0,"",G34+G56+G78+G100+G122+G144+G166)</f>
        <v/>
      </c>
      <c r="H12" s="19" t="str">
        <f t="shared" si="13"/>
        <v/>
      </c>
      <c r="I12" s="19" t="str">
        <f t="shared" si="4"/>
        <v/>
      </c>
      <c r="J12" s="42" t="str">
        <f t="shared" si="5"/>
        <v/>
      </c>
    </row>
    <row r="13" spans="1:17" ht="24.95" customHeight="1">
      <c r="A13" s="18">
        <v>7</v>
      </c>
      <c r="B13" s="15" t="s">
        <v>37</v>
      </c>
      <c r="C13" s="19">
        <f t="shared" ref="C13:D13" si="14">IF(C35+C57+C79+C101+C123+C145+C167=0,"",C35+C57+C79+C101+C123+C145+C167)</f>
        <v>74</v>
      </c>
      <c r="D13" s="19">
        <f t="shared" si="14"/>
        <v>88</v>
      </c>
      <c r="E13" s="19">
        <f t="shared" si="1"/>
        <v>14</v>
      </c>
      <c r="F13" s="42">
        <f t="shared" si="2"/>
        <v>1.1891891891891893</v>
      </c>
      <c r="G13" s="19">
        <f t="shared" ref="G13:H13" si="15">IF(G35+G57+G79+G101+G123+G145+G167=0,"",G35+G57+G79+G101+G123+G145+G167)</f>
        <v>74</v>
      </c>
      <c r="H13" s="19">
        <f t="shared" si="15"/>
        <v>88</v>
      </c>
      <c r="I13" s="19">
        <f t="shared" si="4"/>
        <v>14</v>
      </c>
      <c r="J13" s="42">
        <f t="shared" si="5"/>
        <v>1.1891891891891893</v>
      </c>
    </row>
    <row r="14" spans="1:17" ht="24.95" customHeight="1">
      <c r="A14" s="18">
        <v>8</v>
      </c>
      <c r="B14" s="15" t="s">
        <v>50</v>
      </c>
      <c r="C14" s="19">
        <f t="shared" ref="C14:D14" si="16">IF(C36+C58+C80+C102+C124+C146+C168=0,"",C36+C58+C80+C102+C124+C146+C168)</f>
        <v>8</v>
      </c>
      <c r="D14" s="19">
        <f t="shared" si="16"/>
        <v>19</v>
      </c>
      <c r="E14" s="19">
        <f t="shared" si="1"/>
        <v>11</v>
      </c>
      <c r="F14" s="42">
        <f t="shared" si="2"/>
        <v>2.375</v>
      </c>
      <c r="G14" s="19">
        <f t="shared" ref="G14:H14" si="17">IF(G36+G58+G80+G102+G124+G146+G168=0,"",G36+G58+G80+G102+G124+G146+G168)</f>
        <v>8</v>
      </c>
      <c r="H14" s="19">
        <f t="shared" si="17"/>
        <v>19</v>
      </c>
      <c r="I14" s="19">
        <f t="shared" si="4"/>
        <v>11</v>
      </c>
      <c r="J14" s="42">
        <f t="shared" si="5"/>
        <v>2.375</v>
      </c>
    </row>
    <row r="15" spans="1:17" ht="24.95" customHeight="1">
      <c r="A15" s="18">
        <v>9</v>
      </c>
      <c r="B15" s="15" t="s">
        <v>39</v>
      </c>
      <c r="C15" s="19">
        <f t="shared" ref="C15:D15" si="18">IF(C37+C59+C81+C103+C125+C147+C169=0,"",C37+C59+C81+C103+C125+C147+C169)</f>
        <v>6</v>
      </c>
      <c r="D15" s="19">
        <f t="shared" si="18"/>
        <v>6</v>
      </c>
      <c r="E15" s="19" t="str">
        <f t="shared" si="1"/>
        <v/>
      </c>
      <c r="F15" s="42">
        <f t="shared" si="2"/>
        <v>1</v>
      </c>
      <c r="G15" s="19">
        <f t="shared" ref="G15:H15" si="19">IF(G37+G59+G81+G103+G125+G147+G169=0,"",G37+G59+G81+G103+G125+G147+G169)</f>
        <v>6</v>
      </c>
      <c r="H15" s="19">
        <f t="shared" si="19"/>
        <v>6</v>
      </c>
      <c r="I15" s="19" t="str">
        <f t="shared" si="4"/>
        <v/>
      </c>
      <c r="J15" s="42">
        <f t="shared" si="5"/>
        <v>1</v>
      </c>
    </row>
    <row r="16" spans="1:17" ht="24.95" customHeight="1">
      <c r="A16" s="18">
        <v>10</v>
      </c>
      <c r="B16" s="15" t="s">
        <v>51</v>
      </c>
      <c r="C16" s="19">
        <f t="shared" ref="C16:D16" si="20">IF(C38+C60+C82+C104+C126+C148+C170=0,"",C38+C60+C82+C104+C126+C148+C170)</f>
        <v>11</v>
      </c>
      <c r="D16" s="19">
        <f t="shared" si="20"/>
        <v>12</v>
      </c>
      <c r="E16" s="19">
        <f t="shared" si="1"/>
        <v>1</v>
      </c>
      <c r="F16" s="42">
        <f t="shared" si="2"/>
        <v>1.0909090909090908</v>
      </c>
      <c r="G16" s="19">
        <f t="shared" ref="G16:H16" si="21">IF(G38+G60+G82+G104+G126+G148+G170=0,"",G38+G60+G82+G104+G126+G148+G170)</f>
        <v>11</v>
      </c>
      <c r="H16" s="19">
        <f t="shared" si="21"/>
        <v>12</v>
      </c>
      <c r="I16" s="19">
        <f t="shared" si="4"/>
        <v>1</v>
      </c>
      <c r="J16" s="42">
        <f t="shared" si="5"/>
        <v>1.0909090909090908</v>
      </c>
    </row>
    <row r="17" spans="1:58" ht="24.95" customHeight="1">
      <c r="A17" s="18">
        <v>11</v>
      </c>
      <c r="B17" s="15" t="s">
        <v>52</v>
      </c>
      <c r="C17" s="19">
        <f t="shared" ref="C17:D17" si="22">IF(C39+C61+C83+C105+C127+C149+C171=0,"",C39+C61+C83+C105+C127+C149+C171)</f>
        <v>13</v>
      </c>
      <c r="D17" s="19">
        <f t="shared" si="22"/>
        <v>8</v>
      </c>
      <c r="E17" s="19">
        <f t="shared" si="1"/>
        <v>-5</v>
      </c>
      <c r="F17" s="42">
        <f t="shared" si="2"/>
        <v>0.61538461538461542</v>
      </c>
      <c r="G17" s="19">
        <f t="shared" ref="G17:H17" si="23">IF(G39+G61+G83+G105+G127+G149+G171=0,"",G39+G61+G83+G105+G127+G149+G171)</f>
        <v>13</v>
      </c>
      <c r="H17" s="19">
        <f t="shared" si="23"/>
        <v>8</v>
      </c>
      <c r="I17" s="19">
        <f t="shared" si="4"/>
        <v>-5</v>
      </c>
      <c r="J17" s="42">
        <f t="shared" si="5"/>
        <v>0.61538461538461542</v>
      </c>
    </row>
    <row r="18" spans="1:58" ht="24.95" customHeight="1">
      <c r="A18" s="18">
        <v>12</v>
      </c>
      <c r="B18" s="15" t="s">
        <v>53</v>
      </c>
      <c r="C18" s="19">
        <f t="shared" ref="C18:D18" si="24">IF(C40+C62+C84+C106+C128+C150+C172=0,"",C40+C62+C84+C106+C128+C150+C172)</f>
        <v>7</v>
      </c>
      <c r="D18" s="19">
        <f t="shared" si="24"/>
        <v>16</v>
      </c>
      <c r="E18" s="19">
        <f t="shared" si="1"/>
        <v>9</v>
      </c>
      <c r="F18" s="42">
        <f t="shared" si="2"/>
        <v>2.2857142857142856</v>
      </c>
      <c r="G18" s="19">
        <f t="shared" ref="G18:H18" si="25">IF(G40+G62+G84+G106+G128+G150+G172=0,"",G40+G62+G84+G106+G128+G150+G172)</f>
        <v>7</v>
      </c>
      <c r="H18" s="19">
        <f t="shared" si="25"/>
        <v>16</v>
      </c>
      <c r="I18" s="19">
        <f t="shared" si="4"/>
        <v>9</v>
      </c>
      <c r="J18" s="42">
        <f t="shared" si="5"/>
        <v>2.2857142857142856</v>
      </c>
    </row>
    <row r="19" spans="1:58" ht="24.95" customHeight="1">
      <c r="A19" s="18">
        <v>13</v>
      </c>
      <c r="B19" s="15" t="s">
        <v>43</v>
      </c>
      <c r="C19" s="19" t="str">
        <f t="shared" ref="C19:D21" si="26">IF(C41+C63+C85+C107+C129+C151+C173=0,"",C41+C63+C85+C107+C129+C151+C173)</f>
        <v/>
      </c>
      <c r="D19" s="19" t="str">
        <f t="shared" si="26"/>
        <v/>
      </c>
      <c r="E19" s="19" t="str">
        <f t="shared" si="1"/>
        <v/>
      </c>
      <c r="F19" s="42" t="str">
        <f t="shared" si="2"/>
        <v/>
      </c>
      <c r="G19" s="19" t="str">
        <f t="shared" ref="G19:H21" si="27">IF(G41+G63+G85+G107+G129+G151+G173=0,"",G41+G63+G85+G107+G129+G151+G173)</f>
        <v/>
      </c>
      <c r="H19" s="19" t="str">
        <f t="shared" si="27"/>
        <v/>
      </c>
      <c r="I19" s="19" t="str">
        <f t="shared" si="4"/>
        <v/>
      </c>
      <c r="J19" s="42" t="str">
        <f t="shared" si="5"/>
        <v/>
      </c>
    </row>
    <row r="20" spans="1:58" ht="24.95" customHeight="1">
      <c r="A20" s="18">
        <v>14</v>
      </c>
      <c r="B20" s="15" t="s">
        <v>44</v>
      </c>
      <c r="C20" s="19">
        <f t="shared" si="26"/>
        <v>856564.1</v>
      </c>
      <c r="D20" s="19">
        <f t="shared" si="26"/>
        <v>1055331.3400000001</v>
      </c>
      <c r="E20" s="19">
        <f t="shared" si="1"/>
        <v>198767.24000000011</v>
      </c>
      <c r="F20" s="42">
        <f t="shared" si="2"/>
        <v>1.2320517985752615</v>
      </c>
      <c r="G20" s="19">
        <f t="shared" si="27"/>
        <v>856564.1</v>
      </c>
      <c r="H20" s="19">
        <f t="shared" si="27"/>
        <v>1126445.2</v>
      </c>
      <c r="I20" s="19">
        <f t="shared" si="4"/>
        <v>269881.09999999998</v>
      </c>
      <c r="J20" s="42">
        <f t="shared" si="5"/>
        <v>1.3150740265673053</v>
      </c>
    </row>
    <row r="21" spans="1:58" ht="24.95" customHeight="1">
      <c r="A21" s="18">
        <v>15</v>
      </c>
      <c r="B21" s="15" t="s">
        <v>45</v>
      </c>
      <c r="C21" s="19">
        <f t="shared" si="26"/>
        <v>842169.36400000006</v>
      </c>
      <c r="D21" s="19">
        <f t="shared" si="26"/>
        <v>902696.19099999999</v>
      </c>
      <c r="E21" s="19">
        <f t="shared" si="1"/>
        <v>60526.826999999932</v>
      </c>
      <c r="F21" s="42">
        <f t="shared" si="2"/>
        <v>1.0718701363256904</v>
      </c>
      <c r="G21" s="19">
        <f t="shared" si="27"/>
        <v>842169.36400000006</v>
      </c>
      <c r="H21" s="19">
        <f t="shared" si="27"/>
        <v>3349676.2</v>
      </c>
      <c r="I21" s="19">
        <f t="shared" si="4"/>
        <v>2507506.8360000001</v>
      </c>
      <c r="J21" s="42">
        <f t="shared" si="5"/>
        <v>3.9774377259346614</v>
      </c>
    </row>
    <row r="22" spans="1:58" ht="24.95" customHeight="1">
      <c r="A22" s="18">
        <v>16</v>
      </c>
      <c r="B22" s="15" t="s">
        <v>46</v>
      </c>
      <c r="C22" s="19" t="str">
        <f t="shared" ref="C22:D22" si="28">IF(C44+C66+C88+C110+C132+C154+C176=0,"",C44+C66+C88+C110+C132+C154+C176)</f>
        <v/>
      </c>
      <c r="D22" s="19" t="str">
        <f t="shared" si="28"/>
        <v/>
      </c>
      <c r="E22" s="19" t="str">
        <f t="shared" si="1"/>
        <v/>
      </c>
      <c r="F22" s="42" t="str">
        <f t="shared" si="2"/>
        <v/>
      </c>
      <c r="G22" s="19" t="str">
        <f t="shared" ref="G22:H22" si="29">IF(G44+G66+G88+G110+G132+G154+G176=0,"",G44+G66+G88+G110+G132+G154+G176)</f>
        <v/>
      </c>
      <c r="H22" s="19" t="str">
        <f t="shared" si="29"/>
        <v/>
      </c>
      <c r="I22" s="19" t="str">
        <f t="shared" si="4"/>
        <v/>
      </c>
      <c r="J22" s="42" t="str">
        <f t="shared" si="5"/>
        <v/>
      </c>
    </row>
    <row r="23" spans="1:58">
      <c r="AS23" s="35"/>
      <c r="BF23" s="36"/>
    </row>
    <row r="24" spans="1:58">
      <c r="A24" s="140" t="s">
        <v>243</v>
      </c>
      <c r="B24" s="140"/>
      <c r="C24" s="140"/>
      <c r="D24" s="140"/>
      <c r="E24" s="140"/>
      <c r="F24" s="140"/>
      <c r="G24" s="140"/>
      <c r="H24" s="140"/>
      <c r="I24" s="140"/>
      <c r="J24" s="140"/>
    </row>
    <row r="25" spans="1:58">
      <c r="A25" s="139"/>
      <c r="B25" s="139"/>
      <c r="C25" s="139"/>
      <c r="D25" s="139"/>
      <c r="E25" s="139"/>
      <c r="F25" s="139"/>
      <c r="G25" s="139"/>
      <c r="H25" s="139"/>
      <c r="I25" s="139"/>
      <c r="J25" s="139"/>
    </row>
    <row r="26" spans="1:58" ht="50.1" customHeight="1">
      <c r="A26" s="18"/>
      <c r="B26" s="67" t="s">
        <v>47</v>
      </c>
      <c r="C26" s="97" t="str">
        <f>"Факт " &amp;$J2&amp; " 2023 г"</f>
        <v>Факт Сентябрь 2023 г</v>
      </c>
      <c r="D26" s="97" t="str">
        <f xml:space="preserve"> "Факт " &amp;$J2&amp; " 2024 г"</f>
        <v>Факт Сентябрь 2024 г</v>
      </c>
      <c r="E26" s="147" t="s">
        <v>252</v>
      </c>
      <c r="F26" s="148"/>
      <c r="G26" s="97" t="str">
        <f xml:space="preserve"> "Факт Январь -" &amp;$J2&amp; " 2023 г"</f>
        <v>Факт Январь -Сентябрь 2023 г</v>
      </c>
      <c r="H26" s="97" t="str">
        <f xml:space="preserve"> "Факт Январь -" &amp;$J2&amp; " 2024 г"</f>
        <v>Факт Январь -Сентябрь 2024 г</v>
      </c>
      <c r="I26" s="147" t="s">
        <v>252</v>
      </c>
      <c r="J26" s="148"/>
    </row>
    <row r="27" spans="1:58" ht="47.25" customHeight="1">
      <c r="A27" s="93"/>
      <c r="B27" s="64"/>
      <c r="C27" s="81"/>
      <c r="D27" s="81"/>
      <c r="E27" s="28" t="s">
        <v>3</v>
      </c>
      <c r="F27" s="12" t="s">
        <v>4</v>
      </c>
      <c r="G27" s="20"/>
      <c r="H27" s="20"/>
      <c r="I27" s="28" t="s">
        <v>3</v>
      </c>
      <c r="J27" s="12" t="s">
        <v>4</v>
      </c>
    </row>
    <row r="28" spans="1:58" ht="15" customHeight="1">
      <c r="A28" s="18" t="s">
        <v>1</v>
      </c>
      <c r="B28" s="12" t="s">
        <v>12</v>
      </c>
      <c r="C28" s="12">
        <v>1</v>
      </c>
      <c r="D28" s="12">
        <v>2</v>
      </c>
      <c r="E28" s="12">
        <v>3</v>
      </c>
      <c r="F28" s="12">
        <v>4</v>
      </c>
      <c r="G28" s="12">
        <v>5</v>
      </c>
      <c r="H28" s="12">
        <v>6</v>
      </c>
      <c r="I28" s="12">
        <v>7</v>
      </c>
      <c r="J28" s="12">
        <v>8</v>
      </c>
    </row>
    <row r="29" spans="1:58" ht="24.95" customHeight="1">
      <c r="A29" s="18">
        <v>1</v>
      </c>
      <c r="B29" s="29" t="s">
        <v>31</v>
      </c>
      <c r="C29" s="40">
        <v>17</v>
      </c>
      <c r="D29" s="40">
        <v>21</v>
      </c>
      <c r="E29" s="19">
        <f t="shared" ref="E29" si="30">IF(AND(C29=0,D29=0),"",IFERROR(IF(OR(D29=0,D29=""),-C29,D29-C29),""))</f>
        <v>4</v>
      </c>
      <c r="F29" s="42">
        <f t="shared" ref="F29" si="31">IF(AND(D29=0,C29=0),"",IFERROR(IF(C29=0, D29, D29/C29),""))</f>
        <v>1.2352941176470589</v>
      </c>
      <c r="G29" s="40">
        <v>17</v>
      </c>
      <c r="H29" s="40">
        <v>21</v>
      </c>
      <c r="I29" s="19">
        <f t="shared" ref="I29:I44" si="32">IF(AND(G29=0,H29=0),"",IFERROR(IF(OR(H29=0,H29=""),-G29,H29-G29),""))</f>
        <v>4</v>
      </c>
      <c r="J29" s="42">
        <f t="shared" ref="J29:J44" si="33">IF(AND(H29=0,G29=0),"",IFERROR(IF(G29=0, H29, H29/G29),""))</f>
        <v>1.2352941176470589</v>
      </c>
    </row>
    <row r="30" spans="1:58" ht="24.95" customHeight="1">
      <c r="A30" s="18">
        <v>2</v>
      </c>
      <c r="B30" s="15" t="s">
        <v>48</v>
      </c>
      <c r="C30" s="40">
        <v>4</v>
      </c>
      <c r="D30" s="40">
        <v>2</v>
      </c>
      <c r="E30" s="19">
        <f t="shared" ref="E30:E44" si="34">IF(AND(C30=0,D30=0),"",IFERROR(IF(OR(D30=0,D30=""),-C30,D30-C30),""))</f>
        <v>-2</v>
      </c>
      <c r="F30" s="42">
        <f t="shared" ref="F30:F44" si="35">IF(AND(D30=0,C30=0),"",IFERROR(IF(C30=0, D30, D30/C30),""))</f>
        <v>0.5</v>
      </c>
      <c r="G30" s="40">
        <v>4</v>
      </c>
      <c r="H30" s="40">
        <v>2</v>
      </c>
      <c r="I30" s="19">
        <f t="shared" si="32"/>
        <v>-2</v>
      </c>
      <c r="J30" s="42">
        <f t="shared" si="33"/>
        <v>0.5</v>
      </c>
    </row>
    <row r="31" spans="1:58" ht="24.95" customHeight="1">
      <c r="A31" s="18">
        <v>3</v>
      </c>
      <c r="B31" s="15" t="s">
        <v>49</v>
      </c>
      <c r="C31" s="40">
        <v>7</v>
      </c>
      <c r="D31" s="40">
        <v>14</v>
      </c>
      <c r="E31" s="19">
        <f t="shared" si="34"/>
        <v>7</v>
      </c>
      <c r="F31" s="42">
        <f t="shared" si="35"/>
        <v>2</v>
      </c>
      <c r="G31" s="40">
        <v>7</v>
      </c>
      <c r="H31" s="40">
        <v>14</v>
      </c>
      <c r="I31" s="19">
        <f t="shared" si="32"/>
        <v>7</v>
      </c>
      <c r="J31" s="42">
        <f t="shared" si="33"/>
        <v>2</v>
      </c>
    </row>
    <row r="32" spans="1:58" ht="24.95" customHeight="1">
      <c r="A32" s="18">
        <v>4</v>
      </c>
      <c r="B32" s="15" t="s">
        <v>34</v>
      </c>
      <c r="C32" s="40">
        <v>1</v>
      </c>
      <c r="D32" s="40">
        <v>1</v>
      </c>
      <c r="E32" s="19">
        <f t="shared" si="34"/>
        <v>0</v>
      </c>
      <c r="F32" s="42">
        <f t="shared" si="35"/>
        <v>1</v>
      </c>
      <c r="G32" s="40">
        <v>1</v>
      </c>
      <c r="H32" s="40">
        <v>1</v>
      </c>
      <c r="I32" s="19">
        <f t="shared" si="32"/>
        <v>0</v>
      </c>
      <c r="J32" s="42">
        <f t="shared" si="33"/>
        <v>1</v>
      </c>
    </row>
    <row r="33" spans="1:10" ht="24.95" customHeight="1">
      <c r="A33" s="18">
        <v>5</v>
      </c>
      <c r="B33" s="15" t="s">
        <v>35</v>
      </c>
      <c r="C33" s="40">
        <v>5</v>
      </c>
      <c r="D33" s="40">
        <v>4</v>
      </c>
      <c r="E33" s="19">
        <f t="shared" si="34"/>
        <v>-1</v>
      </c>
      <c r="F33" s="42">
        <f t="shared" si="35"/>
        <v>0.8</v>
      </c>
      <c r="G33" s="40">
        <v>5</v>
      </c>
      <c r="H33" s="40">
        <v>4</v>
      </c>
      <c r="I33" s="19">
        <f t="shared" si="32"/>
        <v>-1</v>
      </c>
      <c r="J33" s="42">
        <f t="shared" si="33"/>
        <v>0.8</v>
      </c>
    </row>
    <row r="34" spans="1:10" ht="24.95" customHeight="1">
      <c r="A34" s="18">
        <v>6</v>
      </c>
      <c r="B34" s="15" t="s">
        <v>36</v>
      </c>
      <c r="C34" s="40"/>
      <c r="D34" s="40"/>
      <c r="E34" s="19" t="str">
        <f t="shared" si="34"/>
        <v/>
      </c>
      <c r="F34" s="42" t="str">
        <f t="shared" si="35"/>
        <v/>
      </c>
      <c r="G34" s="40"/>
      <c r="H34" s="40"/>
      <c r="I34" s="19" t="str">
        <f t="shared" si="32"/>
        <v/>
      </c>
      <c r="J34" s="42" t="str">
        <f t="shared" si="33"/>
        <v/>
      </c>
    </row>
    <row r="35" spans="1:10" ht="24.95" customHeight="1">
      <c r="A35" s="18">
        <v>7</v>
      </c>
      <c r="B35" s="15" t="s">
        <v>37</v>
      </c>
      <c r="C35" s="40">
        <v>11</v>
      </c>
      <c r="D35" s="40">
        <v>10</v>
      </c>
      <c r="E35" s="19">
        <f t="shared" si="34"/>
        <v>-1</v>
      </c>
      <c r="F35" s="42">
        <f t="shared" si="35"/>
        <v>0.90909090909090906</v>
      </c>
      <c r="G35" s="40">
        <v>11</v>
      </c>
      <c r="H35" s="40">
        <v>10</v>
      </c>
      <c r="I35" s="19">
        <f t="shared" si="32"/>
        <v>-1</v>
      </c>
      <c r="J35" s="42">
        <f t="shared" si="33"/>
        <v>0.90909090909090906</v>
      </c>
    </row>
    <row r="36" spans="1:10" ht="24.95" customHeight="1">
      <c r="A36" s="18">
        <v>8</v>
      </c>
      <c r="B36" s="15" t="s">
        <v>50</v>
      </c>
      <c r="C36" s="40">
        <v>0</v>
      </c>
      <c r="D36" s="40">
        <v>2</v>
      </c>
      <c r="E36" s="19">
        <f t="shared" si="34"/>
        <v>2</v>
      </c>
      <c r="F36" s="42">
        <f t="shared" si="35"/>
        <v>2</v>
      </c>
      <c r="G36" s="40">
        <v>0</v>
      </c>
      <c r="H36" s="40">
        <v>2</v>
      </c>
      <c r="I36" s="19">
        <f t="shared" si="32"/>
        <v>2</v>
      </c>
      <c r="J36" s="42">
        <f t="shared" si="33"/>
        <v>2</v>
      </c>
    </row>
    <row r="37" spans="1:10" ht="24.95" customHeight="1">
      <c r="A37" s="18">
        <v>9</v>
      </c>
      <c r="B37" s="15" t="s">
        <v>39</v>
      </c>
      <c r="C37" s="40">
        <v>0</v>
      </c>
      <c r="D37" s="40"/>
      <c r="E37" s="19" t="str">
        <f t="shared" si="34"/>
        <v/>
      </c>
      <c r="F37" s="42" t="str">
        <f t="shared" si="35"/>
        <v/>
      </c>
      <c r="G37" s="40"/>
      <c r="H37" s="40"/>
      <c r="I37" s="19" t="str">
        <f t="shared" si="32"/>
        <v/>
      </c>
      <c r="J37" s="42" t="str">
        <f t="shared" si="33"/>
        <v/>
      </c>
    </row>
    <row r="38" spans="1:10" ht="24.95" customHeight="1">
      <c r="A38" s="18">
        <v>10</v>
      </c>
      <c r="B38" s="15" t="s">
        <v>51</v>
      </c>
      <c r="C38" s="40">
        <v>1</v>
      </c>
      <c r="D38" s="40">
        <v>1</v>
      </c>
      <c r="E38" s="19">
        <f t="shared" si="34"/>
        <v>0</v>
      </c>
      <c r="F38" s="42">
        <f t="shared" si="35"/>
        <v>1</v>
      </c>
      <c r="G38" s="40">
        <v>1</v>
      </c>
      <c r="H38" s="40">
        <v>1</v>
      </c>
      <c r="I38" s="19">
        <f t="shared" si="32"/>
        <v>0</v>
      </c>
      <c r="J38" s="42">
        <f t="shared" si="33"/>
        <v>1</v>
      </c>
    </row>
    <row r="39" spans="1:10" ht="24.95" customHeight="1">
      <c r="A39" s="18">
        <v>11</v>
      </c>
      <c r="B39" s="15" t="s">
        <v>52</v>
      </c>
      <c r="C39" s="40">
        <v>1</v>
      </c>
      <c r="D39" s="40">
        <v>2</v>
      </c>
      <c r="E39" s="19">
        <f t="shared" si="34"/>
        <v>1</v>
      </c>
      <c r="F39" s="42">
        <f t="shared" si="35"/>
        <v>2</v>
      </c>
      <c r="G39" s="40">
        <v>1</v>
      </c>
      <c r="H39" s="40">
        <v>2</v>
      </c>
      <c r="I39" s="19">
        <f t="shared" si="32"/>
        <v>1</v>
      </c>
      <c r="J39" s="42">
        <f t="shared" si="33"/>
        <v>2</v>
      </c>
    </row>
    <row r="40" spans="1:10" ht="24.95" customHeight="1">
      <c r="A40" s="18">
        <v>12</v>
      </c>
      <c r="B40" s="15" t="s">
        <v>53</v>
      </c>
      <c r="C40" s="40">
        <v>4</v>
      </c>
      <c r="D40" s="40">
        <v>6</v>
      </c>
      <c r="E40" s="19">
        <f t="shared" si="34"/>
        <v>2</v>
      </c>
      <c r="F40" s="42">
        <f t="shared" si="35"/>
        <v>1.5</v>
      </c>
      <c r="G40" s="40">
        <v>4</v>
      </c>
      <c r="H40" s="40">
        <v>6</v>
      </c>
      <c r="I40" s="19">
        <f t="shared" si="32"/>
        <v>2</v>
      </c>
      <c r="J40" s="42">
        <f t="shared" si="33"/>
        <v>1.5</v>
      </c>
    </row>
    <row r="41" spans="1:10" ht="24.95" customHeight="1">
      <c r="A41" s="18">
        <v>13</v>
      </c>
      <c r="B41" s="15" t="s">
        <v>43</v>
      </c>
      <c r="C41" s="40"/>
      <c r="D41" s="40"/>
      <c r="E41" s="19" t="str">
        <f t="shared" si="34"/>
        <v/>
      </c>
      <c r="F41" s="42" t="str">
        <f t="shared" si="35"/>
        <v/>
      </c>
      <c r="G41" s="40"/>
      <c r="H41" s="40"/>
      <c r="I41" s="19" t="str">
        <f t="shared" si="32"/>
        <v/>
      </c>
      <c r="J41" s="42" t="str">
        <f t="shared" si="33"/>
        <v/>
      </c>
    </row>
    <row r="42" spans="1:10" ht="24.95" customHeight="1">
      <c r="A42" s="18">
        <v>14</v>
      </c>
      <c r="B42" s="15" t="s">
        <v>44</v>
      </c>
      <c r="C42" s="40">
        <v>139306.5</v>
      </c>
      <c r="D42" s="40">
        <v>119616.8</v>
      </c>
      <c r="E42" s="19">
        <f t="shared" si="34"/>
        <v>-19689.699999999997</v>
      </c>
      <c r="F42" s="42">
        <f t="shared" si="35"/>
        <v>0.85865914368676266</v>
      </c>
      <c r="G42" s="40">
        <v>139306.5</v>
      </c>
      <c r="H42" s="40">
        <v>117816.8</v>
      </c>
      <c r="I42" s="19">
        <f t="shared" si="32"/>
        <v>-21489.699999999997</v>
      </c>
      <c r="J42" s="42">
        <f t="shared" si="33"/>
        <v>0.84573799499664415</v>
      </c>
    </row>
    <row r="43" spans="1:10" ht="24.95" customHeight="1">
      <c r="A43" s="18">
        <v>15</v>
      </c>
      <c r="B43" s="15" t="s">
        <v>45</v>
      </c>
      <c r="C43" s="40">
        <v>137760.04399999999</v>
      </c>
      <c r="D43" s="40">
        <v>104731.632</v>
      </c>
      <c r="E43" s="19">
        <f t="shared" si="34"/>
        <v>-33028.411999999997</v>
      </c>
      <c r="F43" s="42">
        <f t="shared" si="35"/>
        <v>0.7602467955077018</v>
      </c>
      <c r="G43" s="40">
        <v>137760.04399999999</v>
      </c>
      <c r="H43" s="40">
        <v>104731.6</v>
      </c>
      <c r="I43" s="19">
        <f t="shared" si="32"/>
        <v>-33028.443999999989</v>
      </c>
      <c r="J43" s="42">
        <f t="shared" si="33"/>
        <v>0.76024656321973894</v>
      </c>
    </row>
    <row r="44" spans="1:10" ht="24.95" customHeight="1">
      <c r="A44" s="18">
        <v>16</v>
      </c>
      <c r="B44" s="15" t="s">
        <v>46</v>
      </c>
      <c r="C44" s="40"/>
      <c r="D44" s="40"/>
      <c r="E44" s="19" t="str">
        <f t="shared" si="34"/>
        <v/>
      </c>
      <c r="F44" s="42" t="str">
        <f t="shared" si="35"/>
        <v/>
      </c>
      <c r="G44" s="40"/>
      <c r="H44" s="40"/>
      <c r="I44" s="19" t="str">
        <f t="shared" si="32"/>
        <v/>
      </c>
      <c r="J44" s="42" t="str">
        <f t="shared" si="33"/>
        <v/>
      </c>
    </row>
    <row r="46" spans="1:10">
      <c r="A46" s="140" t="s">
        <v>244</v>
      </c>
      <c r="B46" s="140"/>
      <c r="C46" s="140"/>
      <c r="D46" s="140"/>
      <c r="E46" s="140"/>
      <c r="F46" s="140"/>
      <c r="G46" s="140"/>
      <c r="H46" s="140"/>
      <c r="I46" s="140"/>
      <c r="J46" s="140"/>
    </row>
    <row r="47" spans="1:10">
      <c r="A47" s="139"/>
      <c r="B47" s="139"/>
      <c r="C47" s="139"/>
      <c r="D47" s="139"/>
      <c r="E47" s="139"/>
      <c r="F47" s="139"/>
      <c r="G47" s="139"/>
      <c r="H47" s="139"/>
      <c r="I47" s="139"/>
      <c r="J47" s="139"/>
    </row>
    <row r="48" spans="1:10" ht="50.1" customHeight="1">
      <c r="A48" s="18"/>
      <c r="B48" s="67" t="s">
        <v>47</v>
      </c>
      <c r="C48" s="97" t="str">
        <f>"Факт " &amp; J2 &amp; " 2023 г"</f>
        <v>Факт Сентябрь 2023 г</v>
      </c>
      <c r="D48" s="97" t="str">
        <f xml:space="preserve"> "Факт " &amp;$J2&amp; " 2024 г"</f>
        <v>Факт Сентябрь 2024 г</v>
      </c>
      <c r="E48" s="147" t="s">
        <v>252</v>
      </c>
      <c r="F48" s="148"/>
      <c r="G48" s="97" t="str">
        <f xml:space="preserve"> "Факт Январь -" &amp;$J2&amp; " 2023 г"</f>
        <v>Факт Январь -Сентябрь 2023 г</v>
      </c>
      <c r="H48" s="97" t="str">
        <f xml:space="preserve"> "Факт Январь -" &amp;$J2&amp; " 2024 г"</f>
        <v>Факт Январь -Сентябрь 2024 г</v>
      </c>
      <c r="I48" s="147" t="s">
        <v>252</v>
      </c>
      <c r="J48" s="148"/>
    </row>
    <row r="49" spans="1:10" ht="47.25" customHeight="1">
      <c r="A49" s="93"/>
      <c r="B49" s="64"/>
      <c r="C49" s="81"/>
      <c r="D49" s="81"/>
      <c r="E49" s="28" t="s">
        <v>3</v>
      </c>
      <c r="F49" s="12" t="s">
        <v>4</v>
      </c>
      <c r="G49" s="20"/>
      <c r="H49" s="20"/>
      <c r="I49" s="28" t="s">
        <v>3</v>
      </c>
      <c r="J49" s="12" t="s">
        <v>4</v>
      </c>
    </row>
    <row r="50" spans="1:10" ht="15" customHeight="1">
      <c r="A50" s="18" t="s">
        <v>1</v>
      </c>
      <c r="B50" s="12" t="s">
        <v>12</v>
      </c>
      <c r="C50" s="12">
        <v>1</v>
      </c>
      <c r="D50" s="12">
        <v>2</v>
      </c>
      <c r="E50" s="12">
        <v>3</v>
      </c>
      <c r="F50" s="12">
        <v>4</v>
      </c>
      <c r="G50" s="12">
        <v>5</v>
      </c>
      <c r="H50" s="12">
        <v>6</v>
      </c>
      <c r="I50" s="12">
        <v>7</v>
      </c>
      <c r="J50" s="12">
        <v>8</v>
      </c>
    </row>
    <row r="51" spans="1:10" ht="24.95" customHeight="1">
      <c r="A51" s="18">
        <v>1</v>
      </c>
      <c r="B51" s="29" t="s">
        <v>31</v>
      </c>
      <c r="C51" s="40">
        <v>17</v>
      </c>
      <c r="D51" s="40">
        <v>25</v>
      </c>
      <c r="E51" s="19">
        <f t="shared" ref="E51:E66" si="36">IF(AND(C51=0,D51=0),"",IFERROR(IF(OR(D51=0,D51=""),-C51,D51-C51),""))</f>
        <v>8</v>
      </c>
      <c r="F51" s="42">
        <f t="shared" ref="F51:F66" si="37">IF(AND(D51=0,C51=0),"",IFERROR(IF(C51=0, D51, D51/C51),""))</f>
        <v>1.4705882352941178</v>
      </c>
      <c r="G51" s="40">
        <v>17</v>
      </c>
      <c r="H51" s="40">
        <v>25</v>
      </c>
      <c r="I51" s="19">
        <f t="shared" ref="I51:I66" si="38">IF(AND(G51=0,H51=0),"",IFERROR(IF(OR(H51=0,H51=""),-G51,H51-G51),""))</f>
        <v>8</v>
      </c>
      <c r="J51" s="42">
        <f t="shared" ref="J51:J66" si="39">IF(AND(H51=0,G51=0),"",IFERROR(IF(G51=0, H51, H51/G51),""))</f>
        <v>1.4705882352941178</v>
      </c>
    </row>
    <row r="52" spans="1:10" ht="24.95" customHeight="1">
      <c r="A52" s="18">
        <v>2</v>
      </c>
      <c r="B52" s="15" t="s">
        <v>48</v>
      </c>
      <c r="C52" s="40">
        <v>4</v>
      </c>
      <c r="D52" s="40">
        <v>5</v>
      </c>
      <c r="E52" s="19">
        <f t="shared" si="36"/>
        <v>1</v>
      </c>
      <c r="F52" s="42">
        <f t="shared" si="37"/>
        <v>1.25</v>
      </c>
      <c r="G52" s="40">
        <v>4</v>
      </c>
      <c r="H52" s="40">
        <v>5</v>
      </c>
      <c r="I52" s="19">
        <f t="shared" si="38"/>
        <v>1</v>
      </c>
      <c r="J52" s="42">
        <f t="shared" si="39"/>
        <v>1.25</v>
      </c>
    </row>
    <row r="53" spans="1:10" ht="24.95" customHeight="1">
      <c r="A53" s="18">
        <v>3</v>
      </c>
      <c r="B53" s="15" t="s">
        <v>49</v>
      </c>
      <c r="C53" s="40">
        <v>9</v>
      </c>
      <c r="D53" s="40">
        <v>15</v>
      </c>
      <c r="E53" s="19">
        <f t="shared" si="36"/>
        <v>6</v>
      </c>
      <c r="F53" s="42">
        <f t="shared" si="37"/>
        <v>1.6666666666666667</v>
      </c>
      <c r="G53" s="40">
        <v>9</v>
      </c>
      <c r="H53" s="40">
        <v>15</v>
      </c>
      <c r="I53" s="19">
        <f t="shared" si="38"/>
        <v>6</v>
      </c>
      <c r="J53" s="42">
        <f t="shared" si="39"/>
        <v>1.6666666666666667</v>
      </c>
    </row>
    <row r="54" spans="1:10" ht="24.95" customHeight="1">
      <c r="A54" s="18">
        <v>4</v>
      </c>
      <c r="B54" s="15" t="s">
        <v>34</v>
      </c>
      <c r="C54" s="40">
        <v>0</v>
      </c>
      <c r="D54" s="40">
        <v>1</v>
      </c>
      <c r="E54" s="19">
        <f t="shared" si="36"/>
        <v>1</v>
      </c>
      <c r="F54" s="42">
        <f t="shared" si="37"/>
        <v>1</v>
      </c>
      <c r="G54" s="40"/>
      <c r="H54" s="40">
        <v>1</v>
      </c>
      <c r="I54" s="19">
        <f t="shared" si="38"/>
        <v>1</v>
      </c>
      <c r="J54" s="42">
        <f t="shared" si="39"/>
        <v>1</v>
      </c>
    </row>
    <row r="55" spans="1:10" ht="24.95" customHeight="1">
      <c r="A55" s="18">
        <v>5</v>
      </c>
      <c r="B55" s="15" t="s">
        <v>35</v>
      </c>
      <c r="C55" s="40">
        <v>4</v>
      </c>
      <c r="D55" s="40">
        <v>3</v>
      </c>
      <c r="E55" s="19">
        <f t="shared" si="36"/>
        <v>-1</v>
      </c>
      <c r="F55" s="42">
        <f t="shared" si="37"/>
        <v>0.75</v>
      </c>
      <c r="G55" s="40">
        <v>4</v>
      </c>
      <c r="H55" s="40">
        <v>3</v>
      </c>
      <c r="I55" s="19">
        <f t="shared" si="38"/>
        <v>-1</v>
      </c>
      <c r="J55" s="42">
        <f t="shared" si="39"/>
        <v>0.75</v>
      </c>
    </row>
    <row r="56" spans="1:10" ht="24.95" customHeight="1">
      <c r="A56" s="18">
        <v>6</v>
      </c>
      <c r="B56" s="15" t="s">
        <v>36</v>
      </c>
      <c r="C56" s="40"/>
      <c r="D56" s="40"/>
      <c r="E56" s="19" t="str">
        <f t="shared" si="36"/>
        <v/>
      </c>
      <c r="F56" s="42" t="str">
        <f t="shared" si="37"/>
        <v/>
      </c>
      <c r="G56" s="40"/>
      <c r="H56" s="40"/>
      <c r="I56" s="19" t="str">
        <f t="shared" si="38"/>
        <v/>
      </c>
      <c r="J56" s="42" t="str">
        <f t="shared" si="39"/>
        <v/>
      </c>
    </row>
    <row r="57" spans="1:10" ht="24.95" customHeight="1">
      <c r="A57" s="18">
        <v>7</v>
      </c>
      <c r="B57" s="15" t="s">
        <v>37</v>
      </c>
      <c r="C57" s="40">
        <v>11</v>
      </c>
      <c r="D57" s="40">
        <v>17</v>
      </c>
      <c r="E57" s="19">
        <f t="shared" si="36"/>
        <v>6</v>
      </c>
      <c r="F57" s="42">
        <f t="shared" si="37"/>
        <v>1.5454545454545454</v>
      </c>
      <c r="G57" s="40">
        <v>11</v>
      </c>
      <c r="H57" s="40">
        <v>17</v>
      </c>
      <c r="I57" s="19">
        <f t="shared" si="38"/>
        <v>6</v>
      </c>
      <c r="J57" s="42">
        <f t="shared" si="39"/>
        <v>1.5454545454545454</v>
      </c>
    </row>
    <row r="58" spans="1:10" ht="24.95" customHeight="1">
      <c r="A58" s="18">
        <v>8</v>
      </c>
      <c r="B58" s="15" t="s">
        <v>50</v>
      </c>
      <c r="C58" s="40">
        <v>1</v>
      </c>
      <c r="D58" s="40">
        <v>2</v>
      </c>
      <c r="E58" s="19">
        <f t="shared" si="36"/>
        <v>1</v>
      </c>
      <c r="F58" s="42">
        <f t="shared" si="37"/>
        <v>2</v>
      </c>
      <c r="G58" s="40">
        <v>1</v>
      </c>
      <c r="H58" s="40">
        <v>2</v>
      </c>
      <c r="I58" s="19">
        <f t="shared" si="38"/>
        <v>1</v>
      </c>
      <c r="J58" s="42">
        <f t="shared" si="39"/>
        <v>2</v>
      </c>
    </row>
    <row r="59" spans="1:10" ht="24.95" customHeight="1">
      <c r="A59" s="18">
        <v>9</v>
      </c>
      <c r="B59" s="15" t="s">
        <v>39</v>
      </c>
      <c r="C59" s="40">
        <v>1</v>
      </c>
      <c r="D59" s="40">
        <v>2</v>
      </c>
      <c r="E59" s="19">
        <f t="shared" si="36"/>
        <v>1</v>
      </c>
      <c r="F59" s="42">
        <f t="shared" si="37"/>
        <v>2</v>
      </c>
      <c r="G59" s="40">
        <v>1</v>
      </c>
      <c r="H59" s="40">
        <v>2</v>
      </c>
      <c r="I59" s="19">
        <f t="shared" si="38"/>
        <v>1</v>
      </c>
      <c r="J59" s="42">
        <f t="shared" si="39"/>
        <v>2</v>
      </c>
    </row>
    <row r="60" spans="1:10" ht="24.95" customHeight="1">
      <c r="A60" s="18">
        <v>10</v>
      </c>
      <c r="B60" s="15" t="s">
        <v>51</v>
      </c>
      <c r="C60" s="40">
        <v>3</v>
      </c>
      <c r="D60" s="40">
        <v>2</v>
      </c>
      <c r="E60" s="19">
        <f t="shared" si="36"/>
        <v>-1</v>
      </c>
      <c r="F60" s="42">
        <f t="shared" si="37"/>
        <v>0.66666666666666663</v>
      </c>
      <c r="G60" s="40">
        <v>3</v>
      </c>
      <c r="H60" s="40">
        <v>2</v>
      </c>
      <c r="I60" s="19">
        <f t="shared" si="38"/>
        <v>-1</v>
      </c>
      <c r="J60" s="42">
        <f t="shared" si="39"/>
        <v>0.66666666666666663</v>
      </c>
    </row>
    <row r="61" spans="1:10" ht="24.95" customHeight="1">
      <c r="A61" s="18">
        <v>11</v>
      </c>
      <c r="B61" s="15" t="s">
        <v>52</v>
      </c>
      <c r="C61" s="40">
        <v>1</v>
      </c>
      <c r="D61" s="40"/>
      <c r="E61" s="19">
        <f t="shared" si="36"/>
        <v>-1</v>
      </c>
      <c r="F61" s="42">
        <f t="shared" si="37"/>
        <v>0</v>
      </c>
      <c r="G61" s="40">
        <v>1</v>
      </c>
      <c r="H61" s="40"/>
      <c r="I61" s="19">
        <f t="shared" si="38"/>
        <v>-1</v>
      </c>
      <c r="J61" s="42">
        <f t="shared" si="39"/>
        <v>0</v>
      </c>
    </row>
    <row r="62" spans="1:10" ht="24.95" customHeight="1">
      <c r="A62" s="18">
        <v>12</v>
      </c>
      <c r="B62" s="15" t="s">
        <v>53</v>
      </c>
      <c r="C62" s="40"/>
      <c r="D62" s="40">
        <v>2</v>
      </c>
      <c r="E62" s="19">
        <f t="shared" si="36"/>
        <v>2</v>
      </c>
      <c r="F62" s="42">
        <f t="shared" si="37"/>
        <v>2</v>
      </c>
      <c r="G62" s="40"/>
      <c r="H62" s="40">
        <v>2</v>
      </c>
      <c r="I62" s="19">
        <f t="shared" si="38"/>
        <v>2</v>
      </c>
      <c r="J62" s="42">
        <f t="shared" si="39"/>
        <v>2</v>
      </c>
    </row>
    <row r="63" spans="1:10" ht="24.95" customHeight="1">
      <c r="A63" s="18">
        <v>13</v>
      </c>
      <c r="B63" s="15" t="s">
        <v>43</v>
      </c>
      <c r="C63" s="40"/>
      <c r="D63" s="40"/>
      <c r="E63" s="19" t="str">
        <f t="shared" si="36"/>
        <v/>
      </c>
      <c r="F63" s="42" t="str">
        <f t="shared" si="37"/>
        <v/>
      </c>
      <c r="G63" s="40"/>
      <c r="H63" s="40"/>
      <c r="I63" s="19" t="str">
        <f t="shared" si="38"/>
        <v/>
      </c>
      <c r="J63" s="42" t="str">
        <f t="shared" si="39"/>
        <v/>
      </c>
    </row>
    <row r="64" spans="1:10" ht="24.95" customHeight="1">
      <c r="A64" s="18">
        <v>14</v>
      </c>
      <c r="B64" s="15" t="s">
        <v>44</v>
      </c>
      <c r="C64" s="40">
        <v>194005.5</v>
      </c>
      <c r="D64" s="40">
        <v>337539.1</v>
      </c>
      <c r="E64" s="19">
        <f t="shared" si="36"/>
        <v>143533.59999999998</v>
      </c>
      <c r="F64" s="42">
        <f t="shared" si="37"/>
        <v>1.7398429425969881</v>
      </c>
      <c r="G64" s="40">
        <v>194005.5</v>
      </c>
      <c r="H64" s="40">
        <v>335539.09999999998</v>
      </c>
      <c r="I64" s="19">
        <f t="shared" si="38"/>
        <v>141533.59999999998</v>
      </c>
      <c r="J64" s="42">
        <f t="shared" si="39"/>
        <v>1.7295339565115422</v>
      </c>
    </row>
    <row r="65" spans="1:10" ht="24.95" customHeight="1">
      <c r="A65" s="18">
        <v>15</v>
      </c>
      <c r="B65" s="15" t="s">
        <v>45</v>
      </c>
      <c r="C65" s="40">
        <v>193403.9</v>
      </c>
      <c r="D65" s="40">
        <v>279820.62900000002</v>
      </c>
      <c r="E65" s="19">
        <f t="shared" si="36"/>
        <v>86416.729000000021</v>
      </c>
      <c r="F65" s="42">
        <f t="shared" si="37"/>
        <v>1.4468199917374986</v>
      </c>
      <c r="G65" s="40">
        <v>193403.9</v>
      </c>
      <c r="H65" s="40">
        <v>2779820.6</v>
      </c>
      <c r="I65" s="19">
        <f t="shared" si="38"/>
        <v>2586416.7000000002</v>
      </c>
      <c r="J65" s="42">
        <f t="shared" si="39"/>
        <v>14.373136219073142</v>
      </c>
    </row>
    <row r="66" spans="1:10" ht="24.95" customHeight="1">
      <c r="A66" s="18">
        <v>16</v>
      </c>
      <c r="B66" s="15" t="s">
        <v>46</v>
      </c>
      <c r="C66" s="40"/>
      <c r="D66" s="40"/>
      <c r="E66" s="19" t="str">
        <f t="shared" si="36"/>
        <v/>
      </c>
      <c r="F66" s="42" t="str">
        <f t="shared" si="37"/>
        <v/>
      </c>
      <c r="G66" s="40"/>
      <c r="H66" s="40"/>
      <c r="I66" s="19" t="str">
        <f t="shared" si="38"/>
        <v/>
      </c>
      <c r="J66" s="42" t="str">
        <f t="shared" si="39"/>
        <v/>
      </c>
    </row>
    <row r="68" spans="1:10">
      <c r="A68" s="140" t="s">
        <v>246</v>
      </c>
      <c r="B68" s="140"/>
      <c r="C68" s="140"/>
      <c r="D68" s="140"/>
      <c r="E68" s="140"/>
      <c r="F68" s="140"/>
      <c r="G68" s="140"/>
      <c r="H68" s="140"/>
      <c r="I68" s="140"/>
      <c r="J68" s="140"/>
    </row>
    <row r="69" spans="1:10">
      <c r="A69" s="139"/>
      <c r="B69" s="139"/>
      <c r="C69" s="139"/>
      <c r="D69" s="139"/>
      <c r="E69" s="139"/>
      <c r="F69" s="139"/>
      <c r="G69" s="139"/>
      <c r="H69" s="139"/>
      <c r="I69" s="139"/>
      <c r="J69" s="139"/>
    </row>
    <row r="70" spans="1:10" ht="50.1" customHeight="1">
      <c r="A70" s="18"/>
      <c r="B70" s="67" t="s">
        <v>47</v>
      </c>
      <c r="C70" s="97" t="str">
        <f>"Факт " &amp;$J2&amp; " 2023 г"</f>
        <v>Факт Сентябрь 2023 г</v>
      </c>
      <c r="D70" s="97" t="str">
        <f xml:space="preserve"> "Факт " &amp;$J2&amp; " 2024 г"</f>
        <v>Факт Сентябрь 2024 г</v>
      </c>
      <c r="E70" s="147" t="s">
        <v>252</v>
      </c>
      <c r="F70" s="148"/>
      <c r="G70" s="97" t="str">
        <f xml:space="preserve"> "Факт Январь -" &amp;$J2&amp; " 2023 г"</f>
        <v>Факт Январь -Сентябрь 2023 г</v>
      </c>
      <c r="H70" s="97" t="str">
        <f xml:space="preserve"> "Факт Январь -" &amp;$J2&amp; " 2024 г"</f>
        <v>Факт Январь -Сентябрь 2024 г</v>
      </c>
      <c r="I70" s="147" t="s">
        <v>252</v>
      </c>
      <c r="J70" s="148"/>
    </row>
    <row r="71" spans="1:10" ht="47.25" customHeight="1">
      <c r="A71" s="93"/>
      <c r="B71" s="64"/>
      <c r="C71" s="81"/>
      <c r="D71" s="81"/>
      <c r="E71" s="28" t="s">
        <v>3</v>
      </c>
      <c r="F71" s="12" t="s">
        <v>4</v>
      </c>
      <c r="G71" s="20"/>
      <c r="H71" s="20"/>
      <c r="I71" s="28" t="s">
        <v>3</v>
      </c>
      <c r="J71" s="12" t="s">
        <v>4</v>
      </c>
    </row>
    <row r="72" spans="1:10" ht="15" customHeight="1">
      <c r="A72" s="18" t="s">
        <v>1</v>
      </c>
      <c r="B72" s="12" t="s">
        <v>12</v>
      </c>
      <c r="C72" s="12">
        <v>1</v>
      </c>
      <c r="D72" s="12">
        <v>2</v>
      </c>
      <c r="E72" s="12">
        <v>3</v>
      </c>
      <c r="F72" s="12">
        <v>4</v>
      </c>
      <c r="G72" s="12">
        <v>5</v>
      </c>
      <c r="H72" s="12">
        <v>6</v>
      </c>
      <c r="I72" s="12">
        <v>7</v>
      </c>
      <c r="J72" s="12">
        <v>8</v>
      </c>
    </row>
    <row r="73" spans="1:10" ht="24.95" customHeight="1">
      <c r="A73" s="18">
        <v>1</v>
      </c>
      <c r="B73" s="29" t="s">
        <v>31</v>
      </c>
      <c r="C73" s="40">
        <v>18</v>
      </c>
      <c r="D73" s="99">
        <v>28</v>
      </c>
      <c r="E73" s="19">
        <f t="shared" ref="E73:E88" si="40">IF(AND(C73=0,D73=0),"",IFERROR(IF(OR(D73=0,D73=""),-C73,D73-C73),""))</f>
        <v>10</v>
      </c>
      <c r="F73" s="42">
        <f t="shared" ref="F73:F88" si="41">IF(AND(D73=0,C73=0),"",IFERROR(IF(C73=0, D73, D73/C73),""))</f>
        <v>1.5555555555555556</v>
      </c>
      <c r="G73" s="40">
        <v>18</v>
      </c>
      <c r="H73" s="40">
        <v>28</v>
      </c>
      <c r="I73" s="19">
        <f t="shared" ref="I73:I88" si="42">IF(AND(G73=0,H73=0),"",IFERROR(IF(OR(H73=0,H73=""),-G73,H73-G73),""))</f>
        <v>10</v>
      </c>
      <c r="J73" s="42">
        <f t="shared" ref="J73:J88" si="43">IF(AND(H73=0,G73=0),"",IFERROR(IF(G73=0, H73, H73/G73),""))</f>
        <v>1.5555555555555556</v>
      </c>
    </row>
    <row r="74" spans="1:10" ht="24.95" customHeight="1">
      <c r="A74" s="18">
        <v>2</v>
      </c>
      <c r="B74" s="15" t="s">
        <v>48</v>
      </c>
      <c r="C74" s="40">
        <v>2</v>
      </c>
      <c r="D74" s="99">
        <v>7</v>
      </c>
      <c r="E74" s="19">
        <f t="shared" si="40"/>
        <v>5</v>
      </c>
      <c r="F74" s="42">
        <f t="shared" si="41"/>
        <v>3.5</v>
      </c>
      <c r="G74" s="40">
        <v>2</v>
      </c>
      <c r="H74" s="40">
        <v>7</v>
      </c>
      <c r="I74" s="19">
        <f t="shared" si="42"/>
        <v>5</v>
      </c>
      <c r="J74" s="42">
        <f t="shared" si="43"/>
        <v>3.5</v>
      </c>
    </row>
    <row r="75" spans="1:10" ht="24.95" customHeight="1">
      <c r="A75" s="18">
        <v>3</v>
      </c>
      <c r="B75" s="15" t="s">
        <v>49</v>
      </c>
      <c r="C75" s="40">
        <v>15</v>
      </c>
      <c r="D75" s="99">
        <v>20</v>
      </c>
      <c r="E75" s="19">
        <f t="shared" si="40"/>
        <v>5</v>
      </c>
      <c r="F75" s="42">
        <f t="shared" si="41"/>
        <v>1.3333333333333333</v>
      </c>
      <c r="G75" s="40">
        <v>15</v>
      </c>
      <c r="H75" s="40">
        <v>20</v>
      </c>
      <c r="I75" s="19">
        <f t="shared" si="42"/>
        <v>5</v>
      </c>
      <c r="J75" s="42">
        <f t="shared" si="43"/>
        <v>1.3333333333333333</v>
      </c>
    </row>
    <row r="76" spans="1:10" ht="24.95" customHeight="1">
      <c r="A76" s="18">
        <v>4</v>
      </c>
      <c r="B76" s="15" t="s">
        <v>34</v>
      </c>
      <c r="C76" s="40"/>
      <c r="D76" s="99"/>
      <c r="E76" s="19" t="str">
        <f t="shared" si="40"/>
        <v/>
      </c>
      <c r="F76" s="42" t="str">
        <f t="shared" si="41"/>
        <v/>
      </c>
      <c r="G76" s="40"/>
      <c r="H76" s="40"/>
      <c r="I76" s="19" t="str">
        <f t="shared" si="42"/>
        <v/>
      </c>
      <c r="J76" s="42" t="str">
        <f t="shared" si="43"/>
        <v/>
      </c>
    </row>
    <row r="77" spans="1:10" ht="24.95" customHeight="1">
      <c r="A77" s="18">
        <v>5</v>
      </c>
      <c r="B77" s="15" t="s">
        <v>35</v>
      </c>
      <c r="C77" s="40">
        <v>1</v>
      </c>
      <c r="D77" s="99">
        <v>1</v>
      </c>
      <c r="E77" s="19">
        <f t="shared" si="40"/>
        <v>0</v>
      </c>
      <c r="F77" s="42">
        <f t="shared" si="41"/>
        <v>1</v>
      </c>
      <c r="G77" s="40">
        <v>1</v>
      </c>
      <c r="H77" s="40">
        <v>1</v>
      </c>
      <c r="I77" s="19">
        <f t="shared" si="42"/>
        <v>0</v>
      </c>
      <c r="J77" s="42">
        <f t="shared" si="43"/>
        <v>1</v>
      </c>
    </row>
    <row r="78" spans="1:10" ht="24.95" customHeight="1">
      <c r="A78" s="18">
        <v>6</v>
      </c>
      <c r="B78" s="15" t="s">
        <v>36</v>
      </c>
      <c r="C78" s="40"/>
      <c r="D78" s="99"/>
      <c r="E78" s="19" t="str">
        <f t="shared" si="40"/>
        <v/>
      </c>
      <c r="F78" s="42" t="str">
        <f t="shared" si="41"/>
        <v/>
      </c>
      <c r="G78" s="40"/>
      <c r="H78" s="40"/>
      <c r="I78" s="19" t="str">
        <f t="shared" si="42"/>
        <v/>
      </c>
      <c r="J78" s="42" t="str">
        <f t="shared" si="43"/>
        <v/>
      </c>
    </row>
    <row r="79" spans="1:10" ht="24.95" customHeight="1">
      <c r="A79" s="18">
        <v>7</v>
      </c>
      <c r="B79" s="15" t="s">
        <v>37</v>
      </c>
      <c r="C79" s="40">
        <v>13</v>
      </c>
      <c r="D79" s="99">
        <v>20</v>
      </c>
      <c r="E79" s="19">
        <f t="shared" si="40"/>
        <v>7</v>
      </c>
      <c r="F79" s="42">
        <f t="shared" si="41"/>
        <v>1.5384615384615385</v>
      </c>
      <c r="G79" s="40">
        <v>13</v>
      </c>
      <c r="H79" s="40">
        <v>20</v>
      </c>
      <c r="I79" s="19">
        <f t="shared" si="42"/>
        <v>7</v>
      </c>
      <c r="J79" s="42">
        <f t="shared" si="43"/>
        <v>1.5384615384615385</v>
      </c>
    </row>
    <row r="80" spans="1:10" ht="24.95" customHeight="1">
      <c r="A80" s="18">
        <v>8</v>
      </c>
      <c r="B80" s="15" t="s">
        <v>50</v>
      </c>
      <c r="C80" s="40">
        <v>2</v>
      </c>
      <c r="D80" s="99">
        <v>4</v>
      </c>
      <c r="E80" s="19">
        <f t="shared" si="40"/>
        <v>2</v>
      </c>
      <c r="F80" s="42">
        <f t="shared" si="41"/>
        <v>2</v>
      </c>
      <c r="G80" s="40">
        <v>2</v>
      </c>
      <c r="H80" s="40">
        <v>4</v>
      </c>
      <c r="I80" s="19">
        <f t="shared" si="42"/>
        <v>2</v>
      </c>
      <c r="J80" s="42">
        <f t="shared" si="43"/>
        <v>2</v>
      </c>
    </row>
    <row r="81" spans="1:10" ht="24.95" customHeight="1">
      <c r="A81" s="18">
        <v>9</v>
      </c>
      <c r="B81" s="15" t="s">
        <v>39</v>
      </c>
      <c r="C81" s="40">
        <v>1</v>
      </c>
      <c r="D81" s="99">
        <v>1</v>
      </c>
      <c r="E81" s="19">
        <f t="shared" si="40"/>
        <v>0</v>
      </c>
      <c r="F81" s="42">
        <f t="shared" si="41"/>
        <v>1</v>
      </c>
      <c r="G81" s="40">
        <v>1</v>
      </c>
      <c r="H81" s="40">
        <v>1</v>
      </c>
      <c r="I81" s="19">
        <f t="shared" si="42"/>
        <v>0</v>
      </c>
      <c r="J81" s="42">
        <f t="shared" si="43"/>
        <v>1</v>
      </c>
    </row>
    <row r="82" spans="1:10" ht="24.95" customHeight="1">
      <c r="A82" s="18">
        <v>10</v>
      </c>
      <c r="B82" s="15" t="s">
        <v>51</v>
      </c>
      <c r="C82" s="40">
        <v>1</v>
      </c>
      <c r="D82" s="99">
        <v>1</v>
      </c>
      <c r="E82" s="19">
        <f t="shared" si="40"/>
        <v>0</v>
      </c>
      <c r="F82" s="42">
        <f t="shared" si="41"/>
        <v>1</v>
      </c>
      <c r="G82" s="40">
        <v>1</v>
      </c>
      <c r="H82" s="40">
        <v>1</v>
      </c>
      <c r="I82" s="19">
        <f t="shared" si="42"/>
        <v>0</v>
      </c>
      <c r="J82" s="42">
        <f t="shared" si="43"/>
        <v>1</v>
      </c>
    </row>
    <row r="83" spans="1:10" ht="24.95" customHeight="1">
      <c r="A83" s="18">
        <v>11</v>
      </c>
      <c r="B83" s="15" t="s">
        <v>52</v>
      </c>
      <c r="C83" s="40">
        <v>1</v>
      </c>
      <c r="D83" s="99">
        <v>1</v>
      </c>
      <c r="E83" s="19">
        <f t="shared" si="40"/>
        <v>0</v>
      </c>
      <c r="F83" s="42">
        <f t="shared" si="41"/>
        <v>1</v>
      </c>
      <c r="G83" s="40">
        <v>1</v>
      </c>
      <c r="H83" s="40">
        <v>1</v>
      </c>
      <c r="I83" s="19">
        <f t="shared" si="42"/>
        <v>0</v>
      </c>
      <c r="J83" s="42">
        <f t="shared" si="43"/>
        <v>1</v>
      </c>
    </row>
    <row r="84" spans="1:10" ht="24.95" customHeight="1">
      <c r="A84" s="18">
        <v>12</v>
      </c>
      <c r="B84" s="15" t="s">
        <v>53</v>
      </c>
      <c r="C84" s="40"/>
      <c r="D84" s="99">
        <v>1</v>
      </c>
      <c r="E84" s="19">
        <f t="shared" si="40"/>
        <v>1</v>
      </c>
      <c r="F84" s="42">
        <f t="shared" si="41"/>
        <v>1</v>
      </c>
      <c r="G84" s="40"/>
      <c r="H84" s="40">
        <v>1</v>
      </c>
      <c r="I84" s="19">
        <f t="shared" si="42"/>
        <v>1</v>
      </c>
      <c r="J84" s="42">
        <f t="shared" si="43"/>
        <v>1</v>
      </c>
    </row>
    <row r="85" spans="1:10" ht="24.95" customHeight="1">
      <c r="A85" s="18">
        <v>13</v>
      </c>
      <c r="B85" s="15" t="s">
        <v>43</v>
      </c>
      <c r="C85" s="40"/>
      <c r="D85" s="99"/>
      <c r="E85" s="19" t="str">
        <f t="shared" si="40"/>
        <v/>
      </c>
      <c r="F85" s="42" t="str">
        <f t="shared" si="41"/>
        <v/>
      </c>
      <c r="G85" s="40"/>
      <c r="H85" s="40"/>
      <c r="I85" s="19" t="str">
        <f t="shared" si="42"/>
        <v/>
      </c>
      <c r="J85" s="42" t="str">
        <f t="shared" si="43"/>
        <v/>
      </c>
    </row>
    <row r="86" spans="1:10" ht="24.95" customHeight="1">
      <c r="A86" s="18">
        <v>14</v>
      </c>
      <c r="B86" s="15" t="s">
        <v>44</v>
      </c>
      <c r="C86" s="40">
        <v>114496.6</v>
      </c>
      <c r="D86" s="99">
        <v>13653.64</v>
      </c>
      <c r="E86" s="19">
        <f t="shared" si="40"/>
        <v>-100842.96</v>
      </c>
      <c r="F86" s="42">
        <f t="shared" si="41"/>
        <v>0.11924930521954362</v>
      </c>
      <c r="G86" s="40">
        <v>114496.6</v>
      </c>
      <c r="H86" s="40">
        <v>130536.4</v>
      </c>
      <c r="I86" s="19">
        <f t="shared" si="42"/>
        <v>16039.799999999988</v>
      </c>
      <c r="J86" s="42">
        <f t="shared" si="43"/>
        <v>1.140089749389938</v>
      </c>
    </row>
    <row r="87" spans="1:10" ht="24.95" customHeight="1">
      <c r="A87" s="18">
        <v>15</v>
      </c>
      <c r="B87" s="15" t="s">
        <v>45</v>
      </c>
      <c r="C87" s="40">
        <v>114279.211</v>
      </c>
      <c r="D87" s="99">
        <v>95238.47</v>
      </c>
      <c r="E87" s="19">
        <f t="shared" si="40"/>
        <v>-19040.740999999995</v>
      </c>
      <c r="F87" s="42">
        <f t="shared" si="41"/>
        <v>0.83338403517679172</v>
      </c>
      <c r="G87" s="40">
        <v>114279.211</v>
      </c>
      <c r="H87" s="40">
        <v>92238.5</v>
      </c>
      <c r="I87" s="19">
        <f t="shared" si="42"/>
        <v>-22040.710999999996</v>
      </c>
      <c r="J87" s="42">
        <f t="shared" si="43"/>
        <v>0.80713280388328901</v>
      </c>
    </row>
    <row r="88" spans="1:10" ht="24.95" customHeight="1">
      <c r="A88" s="18">
        <v>16</v>
      </c>
      <c r="B88" s="15" t="s">
        <v>46</v>
      </c>
      <c r="C88" s="40"/>
      <c r="D88" s="98"/>
      <c r="E88" s="19" t="str">
        <f t="shared" si="40"/>
        <v/>
      </c>
      <c r="F88" s="42" t="str">
        <f t="shared" si="41"/>
        <v/>
      </c>
      <c r="G88" s="40"/>
      <c r="H88" s="40"/>
      <c r="I88" s="19" t="str">
        <f t="shared" si="42"/>
        <v/>
      </c>
      <c r="J88" s="42" t="str">
        <f t="shared" si="43"/>
        <v/>
      </c>
    </row>
    <row r="90" spans="1:10">
      <c r="A90" s="140" t="s">
        <v>247</v>
      </c>
      <c r="B90" s="140"/>
      <c r="C90" s="140"/>
      <c r="D90" s="140"/>
      <c r="E90" s="140"/>
      <c r="F90" s="140"/>
      <c r="G90" s="140"/>
      <c r="H90" s="140"/>
      <c r="I90" s="140"/>
      <c r="J90" s="140"/>
    </row>
    <row r="91" spans="1:10">
      <c r="A91" s="139"/>
      <c r="B91" s="139"/>
      <c r="C91" s="139"/>
      <c r="D91" s="139"/>
      <c r="E91" s="139"/>
      <c r="F91" s="139"/>
      <c r="G91" s="139"/>
      <c r="H91" s="139"/>
      <c r="I91" s="139"/>
      <c r="J91" s="139"/>
    </row>
    <row r="92" spans="1:10" ht="50.1" customHeight="1">
      <c r="A92" s="18"/>
      <c r="B92" s="67" t="s">
        <v>47</v>
      </c>
      <c r="C92" s="97" t="str">
        <f>"Факт " &amp;$J2&amp; " 2023 г"</f>
        <v>Факт Сентябрь 2023 г</v>
      </c>
      <c r="D92" s="97" t="str">
        <f xml:space="preserve"> "Факт " &amp;$J2&amp; " 2024 г"</f>
        <v>Факт Сентябрь 2024 г</v>
      </c>
      <c r="E92" s="147" t="s">
        <v>252</v>
      </c>
      <c r="F92" s="148"/>
      <c r="G92" s="97" t="str">
        <f xml:space="preserve"> "Факт Январь -" &amp;$J2&amp; " 2023 г"</f>
        <v>Факт Январь -Сентябрь 2023 г</v>
      </c>
      <c r="H92" s="97" t="str">
        <f xml:space="preserve"> "Факт Январь -" &amp;$J2&amp; " 2024 г"</f>
        <v>Факт Январь -Сентябрь 2024 г</v>
      </c>
      <c r="I92" s="147" t="s">
        <v>252</v>
      </c>
      <c r="J92" s="148"/>
    </row>
    <row r="93" spans="1:10" ht="47.25" customHeight="1">
      <c r="A93" s="93"/>
      <c r="B93" s="64"/>
      <c r="C93" s="81"/>
      <c r="D93" s="81"/>
      <c r="E93" s="28" t="s">
        <v>3</v>
      </c>
      <c r="F93" s="12" t="s">
        <v>4</v>
      </c>
      <c r="G93" s="20"/>
      <c r="H93" s="20"/>
      <c r="I93" s="28" t="s">
        <v>3</v>
      </c>
      <c r="J93" s="12" t="s">
        <v>4</v>
      </c>
    </row>
    <row r="94" spans="1:10" ht="15" customHeight="1">
      <c r="A94" s="18" t="s">
        <v>1</v>
      </c>
      <c r="B94" s="12" t="s">
        <v>12</v>
      </c>
      <c r="C94" s="12">
        <v>1</v>
      </c>
      <c r="D94" s="12">
        <v>2</v>
      </c>
      <c r="E94" s="12">
        <v>3</v>
      </c>
      <c r="F94" s="12">
        <v>4</v>
      </c>
      <c r="G94" s="12">
        <v>5</v>
      </c>
      <c r="H94" s="12">
        <v>6</v>
      </c>
      <c r="I94" s="12">
        <v>7</v>
      </c>
      <c r="J94" s="12">
        <v>8</v>
      </c>
    </row>
    <row r="95" spans="1:10" ht="24.95" customHeight="1">
      <c r="A95" s="18">
        <v>1</v>
      </c>
      <c r="B95" s="29" t="s">
        <v>31</v>
      </c>
      <c r="C95" s="40">
        <v>33</v>
      </c>
      <c r="D95" s="99">
        <v>34</v>
      </c>
      <c r="E95" s="19">
        <f t="shared" ref="E95:E110" si="44">IF(AND(C95=0,D95=0),"",IFERROR(IF(OR(D95=0,D95=""),-C95,D95-C95),""))</f>
        <v>1</v>
      </c>
      <c r="F95" s="42">
        <f t="shared" ref="F95:F110" si="45">IF(AND(D95=0,C95=0),"",IFERROR(IF(C95=0, D95, D95/C95),""))</f>
        <v>1.0303030303030303</v>
      </c>
      <c r="G95" s="40">
        <v>33</v>
      </c>
      <c r="H95" s="40">
        <v>34</v>
      </c>
      <c r="I95" s="19">
        <f t="shared" ref="I95:I110" si="46">IF(AND(G95=0,H95=0),"",IFERROR(IF(OR(H95=0,H95=""),-G95,H95-G95),""))</f>
        <v>1</v>
      </c>
      <c r="J95" s="42">
        <f t="shared" ref="J95:J110" si="47">IF(AND(H95=0,G95=0),"",IFERROR(IF(G95=0, H95, H95/G95),""))</f>
        <v>1.0303030303030303</v>
      </c>
    </row>
    <row r="96" spans="1:10" ht="24.95" customHeight="1">
      <c r="A96" s="18">
        <v>2</v>
      </c>
      <c r="B96" s="15" t="s">
        <v>48</v>
      </c>
      <c r="C96" s="40">
        <v>11</v>
      </c>
      <c r="D96" s="99">
        <v>11</v>
      </c>
      <c r="E96" s="19">
        <f t="shared" si="44"/>
        <v>0</v>
      </c>
      <c r="F96" s="42">
        <f t="shared" si="45"/>
        <v>1</v>
      </c>
      <c r="G96" s="40">
        <v>11</v>
      </c>
      <c r="H96" s="40">
        <v>11</v>
      </c>
      <c r="I96" s="19">
        <f t="shared" si="46"/>
        <v>0</v>
      </c>
      <c r="J96" s="42">
        <f t="shared" si="47"/>
        <v>1</v>
      </c>
    </row>
    <row r="97" spans="1:10" ht="24.95" customHeight="1">
      <c r="A97" s="18">
        <v>3</v>
      </c>
      <c r="B97" s="15" t="s">
        <v>49</v>
      </c>
      <c r="C97" s="40">
        <v>16</v>
      </c>
      <c r="D97" s="99">
        <v>10</v>
      </c>
      <c r="E97" s="19">
        <f t="shared" si="44"/>
        <v>-6</v>
      </c>
      <c r="F97" s="42">
        <f t="shared" si="45"/>
        <v>0.625</v>
      </c>
      <c r="G97" s="40">
        <v>16</v>
      </c>
      <c r="H97" s="40">
        <v>10</v>
      </c>
      <c r="I97" s="19">
        <f t="shared" si="46"/>
        <v>-6</v>
      </c>
      <c r="J97" s="42">
        <f t="shared" si="47"/>
        <v>0.625</v>
      </c>
    </row>
    <row r="98" spans="1:10" ht="24.95" customHeight="1">
      <c r="A98" s="18">
        <v>4</v>
      </c>
      <c r="B98" s="15" t="s">
        <v>34</v>
      </c>
      <c r="C98" s="40"/>
      <c r="D98" s="99"/>
      <c r="E98" s="19" t="str">
        <f t="shared" si="44"/>
        <v/>
      </c>
      <c r="F98" s="42" t="str">
        <f t="shared" si="45"/>
        <v/>
      </c>
      <c r="G98" s="40"/>
      <c r="H98" s="40"/>
      <c r="I98" s="19" t="str">
        <f t="shared" si="46"/>
        <v/>
      </c>
      <c r="J98" s="42" t="str">
        <f t="shared" si="47"/>
        <v/>
      </c>
    </row>
    <row r="99" spans="1:10" ht="24.95" customHeight="1">
      <c r="A99" s="18">
        <v>5</v>
      </c>
      <c r="B99" s="15" t="s">
        <v>35</v>
      </c>
      <c r="C99" s="40">
        <v>6</v>
      </c>
      <c r="D99" s="99">
        <v>13</v>
      </c>
      <c r="E99" s="19">
        <f t="shared" si="44"/>
        <v>7</v>
      </c>
      <c r="F99" s="42">
        <f t="shared" si="45"/>
        <v>2.1666666666666665</v>
      </c>
      <c r="G99" s="40">
        <v>6</v>
      </c>
      <c r="H99" s="40">
        <v>13</v>
      </c>
      <c r="I99" s="19">
        <f t="shared" si="46"/>
        <v>7</v>
      </c>
      <c r="J99" s="42">
        <f t="shared" si="47"/>
        <v>2.1666666666666665</v>
      </c>
    </row>
    <row r="100" spans="1:10" ht="24.95" customHeight="1">
      <c r="A100" s="18">
        <v>6</v>
      </c>
      <c r="B100" s="15" t="s">
        <v>36</v>
      </c>
      <c r="C100" s="40"/>
      <c r="D100" s="99"/>
      <c r="E100" s="19" t="str">
        <f t="shared" si="44"/>
        <v/>
      </c>
      <c r="F100" s="42" t="str">
        <f t="shared" si="45"/>
        <v/>
      </c>
      <c r="G100" s="40"/>
      <c r="H100" s="40"/>
      <c r="I100" s="19" t="str">
        <f t="shared" si="46"/>
        <v/>
      </c>
      <c r="J100" s="42" t="str">
        <f t="shared" si="47"/>
        <v/>
      </c>
    </row>
    <row r="101" spans="1:10" ht="24.95" customHeight="1">
      <c r="A101" s="18">
        <v>7</v>
      </c>
      <c r="B101" s="15" t="s">
        <v>37</v>
      </c>
      <c r="C101" s="40">
        <v>22</v>
      </c>
      <c r="D101" s="99">
        <v>23</v>
      </c>
      <c r="E101" s="19">
        <f t="shared" si="44"/>
        <v>1</v>
      </c>
      <c r="F101" s="42">
        <f t="shared" si="45"/>
        <v>1.0454545454545454</v>
      </c>
      <c r="G101" s="40">
        <v>22</v>
      </c>
      <c r="H101" s="40">
        <v>23</v>
      </c>
      <c r="I101" s="19">
        <f t="shared" si="46"/>
        <v>1</v>
      </c>
      <c r="J101" s="42">
        <f t="shared" si="47"/>
        <v>1.0454545454545454</v>
      </c>
    </row>
    <row r="102" spans="1:10" ht="24.95" customHeight="1">
      <c r="A102" s="18">
        <v>8</v>
      </c>
      <c r="B102" s="15" t="s">
        <v>50</v>
      </c>
      <c r="C102" s="40">
        <v>2</v>
      </c>
      <c r="D102" s="99">
        <v>5</v>
      </c>
      <c r="E102" s="19">
        <f t="shared" si="44"/>
        <v>3</v>
      </c>
      <c r="F102" s="42">
        <f t="shared" si="45"/>
        <v>2.5</v>
      </c>
      <c r="G102" s="40">
        <v>2</v>
      </c>
      <c r="H102" s="40">
        <v>5</v>
      </c>
      <c r="I102" s="19">
        <f t="shared" si="46"/>
        <v>3</v>
      </c>
      <c r="J102" s="42">
        <f t="shared" si="47"/>
        <v>2.5</v>
      </c>
    </row>
    <row r="103" spans="1:10" ht="24.95" customHeight="1">
      <c r="A103" s="18">
        <v>9</v>
      </c>
      <c r="B103" s="15" t="s">
        <v>39</v>
      </c>
      <c r="C103" s="40">
        <v>2</v>
      </c>
      <c r="D103" s="99">
        <v>0</v>
      </c>
      <c r="E103" s="19">
        <f t="shared" si="44"/>
        <v>-2</v>
      </c>
      <c r="F103" s="42">
        <f t="shared" si="45"/>
        <v>0</v>
      </c>
      <c r="G103" s="40">
        <v>2</v>
      </c>
      <c r="H103" s="40">
        <v>0</v>
      </c>
      <c r="I103" s="19">
        <f t="shared" si="46"/>
        <v>-2</v>
      </c>
      <c r="J103" s="42">
        <f t="shared" si="47"/>
        <v>0</v>
      </c>
    </row>
    <row r="104" spans="1:10" ht="24.95" customHeight="1">
      <c r="A104" s="18">
        <v>10</v>
      </c>
      <c r="B104" s="15" t="s">
        <v>51</v>
      </c>
      <c r="C104" s="40">
        <v>3</v>
      </c>
      <c r="D104" s="99">
        <v>3</v>
      </c>
      <c r="E104" s="19">
        <f t="shared" si="44"/>
        <v>0</v>
      </c>
      <c r="F104" s="42">
        <f t="shared" si="45"/>
        <v>1</v>
      </c>
      <c r="G104" s="40">
        <v>3</v>
      </c>
      <c r="H104" s="40">
        <v>3</v>
      </c>
      <c r="I104" s="19">
        <f t="shared" si="46"/>
        <v>0</v>
      </c>
      <c r="J104" s="42">
        <f t="shared" si="47"/>
        <v>1</v>
      </c>
    </row>
    <row r="105" spans="1:10" ht="24.95" customHeight="1">
      <c r="A105" s="18">
        <v>11</v>
      </c>
      <c r="B105" s="15" t="s">
        <v>52</v>
      </c>
      <c r="C105" s="40">
        <v>2</v>
      </c>
      <c r="D105" s="99">
        <v>1</v>
      </c>
      <c r="E105" s="19">
        <f t="shared" si="44"/>
        <v>-1</v>
      </c>
      <c r="F105" s="42">
        <f t="shared" si="45"/>
        <v>0.5</v>
      </c>
      <c r="G105" s="40">
        <v>2</v>
      </c>
      <c r="H105" s="40">
        <v>1</v>
      </c>
      <c r="I105" s="19">
        <f t="shared" si="46"/>
        <v>-1</v>
      </c>
      <c r="J105" s="42">
        <f t="shared" si="47"/>
        <v>0.5</v>
      </c>
    </row>
    <row r="106" spans="1:10" ht="24.95" customHeight="1">
      <c r="A106" s="18">
        <v>12</v>
      </c>
      <c r="B106" s="15" t="s">
        <v>53</v>
      </c>
      <c r="C106" s="40">
        <v>2</v>
      </c>
      <c r="D106" s="99">
        <v>2</v>
      </c>
      <c r="E106" s="19">
        <f t="shared" si="44"/>
        <v>0</v>
      </c>
      <c r="F106" s="42">
        <f t="shared" si="45"/>
        <v>1</v>
      </c>
      <c r="G106" s="40">
        <v>2</v>
      </c>
      <c r="H106" s="40">
        <v>2</v>
      </c>
      <c r="I106" s="19">
        <f t="shared" si="46"/>
        <v>0</v>
      </c>
      <c r="J106" s="42">
        <f t="shared" si="47"/>
        <v>1</v>
      </c>
    </row>
    <row r="107" spans="1:10" ht="24.95" customHeight="1">
      <c r="A107" s="18">
        <v>13</v>
      </c>
      <c r="B107" s="15" t="s">
        <v>43</v>
      </c>
      <c r="C107" s="40"/>
      <c r="D107" s="99"/>
      <c r="E107" s="19" t="str">
        <f t="shared" si="44"/>
        <v/>
      </c>
      <c r="F107" s="42" t="str">
        <f t="shared" si="45"/>
        <v/>
      </c>
      <c r="G107" s="40"/>
      <c r="H107" s="40"/>
      <c r="I107" s="19" t="str">
        <f t="shared" si="46"/>
        <v/>
      </c>
      <c r="J107" s="42" t="str">
        <f t="shared" si="47"/>
        <v/>
      </c>
    </row>
    <row r="108" spans="1:10" ht="24.95" customHeight="1">
      <c r="A108" s="18">
        <v>14</v>
      </c>
      <c r="B108" s="15" t="s">
        <v>44</v>
      </c>
      <c r="C108" s="40">
        <v>199913.60000000001</v>
      </c>
      <c r="D108" s="99">
        <v>162861</v>
      </c>
      <c r="E108" s="19">
        <f t="shared" si="44"/>
        <v>-37052.600000000006</v>
      </c>
      <c r="F108" s="42">
        <f t="shared" si="45"/>
        <v>0.81465693179453524</v>
      </c>
      <c r="G108" s="40">
        <v>199913.60000000001</v>
      </c>
      <c r="H108" s="40">
        <v>142561</v>
      </c>
      <c r="I108" s="19">
        <f t="shared" si="46"/>
        <v>-57352.600000000006</v>
      </c>
      <c r="J108" s="42">
        <f t="shared" si="47"/>
        <v>0.7131130648440126</v>
      </c>
    </row>
    <row r="109" spans="1:10" ht="24.95" customHeight="1">
      <c r="A109" s="18">
        <v>15</v>
      </c>
      <c r="B109" s="15" t="s">
        <v>45</v>
      </c>
      <c r="C109" s="40">
        <v>196209.774</v>
      </c>
      <c r="D109" s="99">
        <v>90533.79</v>
      </c>
      <c r="E109" s="19">
        <f t="shared" si="44"/>
        <v>-105675.98400000001</v>
      </c>
      <c r="F109" s="42">
        <f t="shared" si="45"/>
        <v>0.46141325253246557</v>
      </c>
      <c r="G109" s="40">
        <v>196209.774</v>
      </c>
      <c r="H109" s="40">
        <v>90533.8</v>
      </c>
      <c r="I109" s="19">
        <f t="shared" si="46"/>
        <v>-105675.974</v>
      </c>
      <c r="J109" s="42">
        <f t="shared" si="47"/>
        <v>0.46141330349832627</v>
      </c>
    </row>
    <row r="110" spans="1:10" ht="24.95" customHeight="1">
      <c r="A110" s="18">
        <v>16</v>
      </c>
      <c r="B110" s="15" t="s">
        <v>46</v>
      </c>
      <c r="C110" s="40"/>
      <c r="D110" s="99"/>
      <c r="E110" s="19" t="str">
        <f t="shared" si="44"/>
        <v/>
      </c>
      <c r="F110" s="42" t="str">
        <f t="shared" si="45"/>
        <v/>
      </c>
      <c r="G110" s="40"/>
      <c r="H110" s="40"/>
      <c r="I110" s="19" t="str">
        <f t="shared" si="46"/>
        <v/>
      </c>
      <c r="J110" s="42" t="str">
        <f t="shared" si="47"/>
        <v/>
      </c>
    </row>
    <row r="112" spans="1:10">
      <c r="A112" s="140" t="s">
        <v>248</v>
      </c>
      <c r="B112" s="140"/>
      <c r="C112" s="140"/>
      <c r="D112" s="140"/>
      <c r="E112" s="140"/>
      <c r="F112" s="140"/>
      <c r="G112" s="140"/>
      <c r="H112" s="140"/>
      <c r="I112" s="140"/>
      <c r="J112" s="140"/>
    </row>
    <row r="113" spans="1:10">
      <c r="A113" s="139"/>
      <c r="B113" s="139"/>
      <c r="C113" s="139"/>
      <c r="D113" s="139"/>
      <c r="E113" s="139"/>
      <c r="F113" s="139"/>
      <c r="G113" s="139"/>
      <c r="H113" s="139"/>
      <c r="I113" s="139"/>
      <c r="J113" s="139"/>
    </row>
    <row r="114" spans="1:10" ht="50.1" customHeight="1">
      <c r="A114" s="18"/>
      <c r="B114" s="67" t="s">
        <v>47</v>
      </c>
      <c r="C114" s="97" t="str">
        <f>"Факт " &amp;$J2&amp; " 2023 г"</f>
        <v>Факт Сентябрь 2023 г</v>
      </c>
      <c r="D114" s="97" t="str">
        <f xml:space="preserve"> "Факт " &amp;$J2&amp; " 2024 г"</f>
        <v>Факт Сентябрь 2024 г</v>
      </c>
      <c r="E114" s="147" t="s">
        <v>252</v>
      </c>
      <c r="F114" s="148"/>
      <c r="G114" s="97" t="str">
        <f xml:space="preserve"> "Факт Январь -" &amp;$J2&amp; " 2023 г"</f>
        <v>Факт Январь -Сентябрь 2023 г</v>
      </c>
      <c r="H114" s="97" t="str">
        <f xml:space="preserve"> "Факт Январь -" &amp;$J2&amp; " 2024 г"</f>
        <v>Факт Январь -Сентябрь 2024 г</v>
      </c>
      <c r="I114" s="147" t="s">
        <v>252</v>
      </c>
      <c r="J114" s="148"/>
    </row>
    <row r="115" spans="1:10" ht="47.25" customHeight="1">
      <c r="A115" s="93"/>
      <c r="B115" s="64"/>
      <c r="C115" s="81"/>
      <c r="D115" s="81"/>
      <c r="E115" s="28" t="s">
        <v>3</v>
      </c>
      <c r="F115" s="12" t="s">
        <v>4</v>
      </c>
      <c r="G115" s="20"/>
      <c r="H115" s="20"/>
      <c r="I115" s="28" t="s">
        <v>3</v>
      </c>
      <c r="J115" s="12" t="s">
        <v>4</v>
      </c>
    </row>
    <row r="116" spans="1:10" ht="15" customHeight="1">
      <c r="A116" s="18" t="s">
        <v>1</v>
      </c>
      <c r="B116" s="12" t="s">
        <v>12</v>
      </c>
      <c r="C116" s="12">
        <v>1</v>
      </c>
      <c r="D116" s="12">
        <v>2</v>
      </c>
      <c r="E116" s="12">
        <v>3</v>
      </c>
      <c r="F116" s="12">
        <v>4</v>
      </c>
      <c r="G116" s="12">
        <v>5</v>
      </c>
      <c r="H116" s="12">
        <v>6</v>
      </c>
      <c r="I116" s="12">
        <v>7</v>
      </c>
      <c r="J116" s="12">
        <v>8</v>
      </c>
    </row>
    <row r="117" spans="1:10" ht="24.95" customHeight="1">
      <c r="A117" s="18">
        <v>1</v>
      </c>
      <c r="B117" s="29" t="s">
        <v>31</v>
      </c>
      <c r="C117" s="40">
        <v>10</v>
      </c>
      <c r="D117" s="99">
        <v>11</v>
      </c>
      <c r="E117" s="19">
        <f t="shared" ref="E117:E132" si="48">IF(AND(C117=0,D117=0),"",IFERROR(IF(OR(D117=0,D117=""),-C117,D117-C117),""))</f>
        <v>1</v>
      </c>
      <c r="F117" s="42">
        <f t="shared" ref="F117:F132" si="49">IF(AND(D117=0,C117=0),"",IFERROR(IF(C117=0, D117, D117/C117),""))</f>
        <v>1.1000000000000001</v>
      </c>
      <c r="G117" s="40">
        <v>10</v>
      </c>
      <c r="H117" s="40">
        <v>11</v>
      </c>
      <c r="I117" s="19">
        <f t="shared" ref="I117:I132" si="50">IF(AND(G117=0,H117=0),"",IFERROR(IF(OR(H117=0,H117=""),-G117,H117-G117),""))</f>
        <v>1</v>
      </c>
      <c r="J117" s="42">
        <f t="shared" ref="J117:J132" si="51">IF(AND(H117=0,G117=0),"",IFERROR(IF(G117=0, H117, H117/G117),""))</f>
        <v>1.1000000000000001</v>
      </c>
    </row>
    <row r="118" spans="1:10" ht="24.95" customHeight="1">
      <c r="A118" s="18">
        <v>2</v>
      </c>
      <c r="B118" s="15" t="s">
        <v>48</v>
      </c>
      <c r="C118" s="40">
        <v>4</v>
      </c>
      <c r="D118" s="99">
        <v>5</v>
      </c>
      <c r="E118" s="19">
        <f t="shared" si="48"/>
        <v>1</v>
      </c>
      <c r="F118" s="42">
        <f t="shared" si="49"/>
        <v>1.25</v>
      </c>
      <c r="G118" s="40">
        <v>4</v>
      </c>
      <c r="H118" s="40">
        <v>5</v>
      </c>
      <c r="I118" s="19">
        <f t="shared" si="50"/>
        <v>1</v>
      </c>
      <c r="J118" s="42">
        <f t="shared" si="51"/>
        <v>1.25</v>
      </c>
    </row>
    <row r="119" spans="1:10" ht="24.95" customHeight="1">
      <c r="A119" s="18">
        <v>3</v>
      </c>
      <c r="B119" s="15" t="s">
        <v>49</v>
      </c>
      <c r="C119" s="40">
        <v>2</v>
      </c>
      <c r="D119" s="99">
        <v>4</v>
      </c>
      <c r="E119" s="19">
        <f t="shared" si="48"/>
        <v>2</v>
      </c>
      <c r="F119" s="42">
        <f t="shared" si="49"/>
        <v>2</v>
      </c>
      <c r="G119" s="40">
        <v>2</v>
      </c>
      <c r="H119" s="40">
        <v>4</v>
      </c>
      <c r="I119" s="19">
        <f t="shared" si="50"/>
        <v>2</v>
      </c>
      <c r="J119" s="42">
        <f t="shared" si="51"/>
        <v>2</v>
      </c>
    </row>
    <row r="120" spans="1:10" ht="24.95" customHeight="1">
      <c r="A120" s="18">
        <v>4</v>
      </c>
      <c r="B120" s="15" t="s">
        <v>34</v>
      </c>
      <c r="C120" s="40">
        <v>1</v>
      </c>
      <c r="D120" s="99">
        <v>1</v>
      </c>
      <c r="E120" s="19">
        <f t="shared" si="48"/>
        <v>0</v>
      </c>
      <c r="F120" s="42">
        <f t="shared" si="49"/>
        <v>1</v>
      </c>
      <c r="G120" s="40">
        <v>1</v>
      </c>
      <c r="H120" s="40">
        <v>1</v>
      </c>
      <c r="I120" s="19">
        <f t="shared" si="50"/>
        <v>0</v>
      </c>
      <c r="J120" s="42">
        <f t="shared" si="51"/>
        <v>1</v>
      </c>
    </row>
    <row r="121" spans="1:10" ht="24.95" customHeight="1">
      <c r="A121" s="18">
        <v>5</v>
      </c>
      <c r="B121" s="15" t="s">
        <v>35</v>
      </c>
      <c r="C121" s="40">
        <v>3</v>
      </c>
      <c r="D121" s="99">
        <v>1</v>
      </c>
      <c r="E121" s="19">
        <f t="shared" si="48"/>
        <v>-2</v>
      </c>
      <c r="F121" s="42">
        <f t="shared" si="49"/>
        <v>0.33333333333333331</v>
      </c>
      <c r="G121" s="40">
        <v>3</v>
      </c>
      <c r="H121" s="40">
        <v>1</v>
      </c>
      <c r="I121" s="19">
        <f t="shared" si="50"/>
        <v>-2</v>
      </c>
      <c r="J121" s="42">
        <f t="shared" si="51"/>
        <v>0.33333333333333331</v>
      </c>
    </row>
    <row r="122" spans="1:10" ht="24.95" customHeight="1">
      <c r="A122" s="18">
        <v>6</v>
      </c>
      <c r="B122" s="15" t="s">
        <v>36</v>
      </c>
      <c r="C122" s="40"/>
      <c r="D122" s="99"/>
      <c r="E122" s="19" t="str">
        <f t="shared" si="48"/>
        <v/>
      </c>
      <c r="F122" s="42" t="str">
        <f t="shared" si="49"/>
        <v/>
      </c>
      <c r="G122" s="40"/>
      <c r="H122" s="40"/>
      <c r="I122" s="19" t="str">
        <f t="shared" si="50"/>
        <v/>
      </c>
      <c r="J122" s="42" t="str">
        <f t="shared" si="51"/>
        <v/>
      </c>
    </row>
    <row r="123" spans="1:10" ht="24.95" customHeight="1">
      <c r="A123" s="18">
        <v>7</v>
      </c>
      <c r="B123" s="15" t="s">
        <v>37</v>
      </c>
      <c r="C123" s="40">
        <v>6</v>
      </c>
      <c r="D123" s="99">
        <v>8</v>
      </c>
      <c r="E123" s="19">
        <f t="shared" si="48"/>
        <v>2</v>
      </c>
      <c r="F123" s="42">
        <f t="shared" si="49"/>
        <v>1.3333333333333333</v>
      </c>
      <c r="G123" s="40">
        <v>6</v>
      </c>
      <c r="H123" s="40">
        <v>8</v>
      </c>
      <c r="I123" s="19">
        <f t="shared" si="50"/>
        <v>2</v>
      </c>
      <c r="J123" s="42">
        <f t="shared" si="51"/>
        <v>1.3333333333333333</v>
      </c>
    </row>
    <row r="124" spans="1:10" ht="24.95" customHeight="1">
      <c r="A124" s="18">
        <v>8</v>
      </c>
      <c r="B124" s="15" t="s">
        <v>50</v>
      </c>
      <c r="C124" s="40">
        <v>1</v>
      </c>
      <c r="D124" s="99">
        <v>1</v>
      </c>
      <c r="E124" s="19">
        <f t="shared" si="48"/>
        <v>0</v>
      </c>
      <c r="F124" s="42">
        <f t="shared" si="49"/>
        <v>1</v>
      </c>
      <c r="G124" s="40">
        <v>1</v>
      </c>
      <c r="H124" s="40">
        <v>1</v>
      </c>
      <c r="I124" s="19">
        <f t="shared" si="50"/>
        <v>0</v>
      </c>
      <c r="J124" s="42">
        <f t="shared" si="51"/>
        <v>1</v>
      </c>
    </row>
    <row r="125" spans="1:10" ht="24.95" customHeight="1">
      <c r="A125" s="18">
        <v>9</v>
      </c>
      <c r="B125" s="15" t="s">
        <v>39</v>
      </c>
      <c r="C125" s="40">
        <v>1</v>
      </c>
      <c r="D125" s="99">
        <v>1</v>
      </c>
      <c r="E125" s="19">
        <f t="shared" si="48"/>
        <v>0</v>
      </c>
      <c r="F125" s="42">
        <f t="shared" si="49"/>
        <v>1</v>
      </c>
      <c r="G125" s="40">
        <v>1</v>
      </c>
      <c r="H125" s="40">
        <v>1</v>
      </c>
      <c r="I125" s="19">
        <f t="shared" si="50"/>
        <v>0</v>
      </c>
      <c r="J125" s="42">
        <f t="shared" si="51"/>
        <v>1</v>
      </c>
    </row>
    <row r="126" spans="1:10" ht="24.95" customHeight="1">
      <c r="A126" s="18">
        <v>10</v>
      </c>
      <c r="B126" s="15" t="s">
        <v>51</v>
      </c>
      <c r="C126" s="40">
        <v>1</v>
      </c>
      <c r="D126" s="99"/>
      <c r="E126" s="19">
        <f t="shared" si="48"/>
        <v>-1</v>
      </c>
      <c r="F126" s="42">
        <f t="shared" si="49"/>
        <v>0</v>
      </c>
      <c r="G126" s="40">
        <v>1</v>
      </c>
      <c r="H126" s="40"/>
      <c r="I126" s="19">
        <f t="shared" si="50"/>
        <v>-1</v>
      </c>
      <c r="J126" s="42">
        <f t="shared" si="51"/>
        <v>0</v>
      </c>
    </row>
    <row r="127" spans="1:10" ht="24.95" customHeight="1">
      <c r="A127" s="18">
        <v>11</v>
      </c>
      <c r="B127" s="15" t="s">
        <v>52</v>
      </c>
      <c r="C127" s="40">
        <v>1</v>
      </c>
      <c r="D127" s="99"/>
      <c r="E127" s="19">
        <f t="shared" si="48"/>
        <v>-1</v>
      </c>
      <c r="F127" s="42">
        <f t="shared" si="49"/>
        <v>0</v>
      </c>
      <c r="G127" s="40">
        <v>1</v>
      </c>
      <c r="H127" s="40"/>
      <c r="I127" s="19">
        <f t="shared" si="50"/>
        <v>-1</v>
      </c>
      <c r="J127" s="42">
        <f t="shared" si="51"/>
        <v>0</v>
      </c>
    </row>
    <row r="128" spans="1:10" ht="24.95" customHeight="1">
      <c r="A128" s="18">
        <v>12</v>
      </c>
      <c r="B128" s="15" t="s">
        <v>53</v>
      </c>
      <c r="C128" s="40"/>
      <c r="D128" s="99"/>
      <c r="E128" s="19" t="str">
        <f t="shared" si="48"/>
        <v/>
      </c>
      <c r="F128" s="42" t="str">
        <f t="shared" si="49"/>
        <v/>
      </c>
      <c r="G128" s="40"/>
      <c r="H128" s="40"/>
      <c r="I128" s="19" t="str">
        <f t="shared" si="50"/>
        <v/>
      </c>
      <c r="J128" s="42" t="str">
        <f t="shared" si="51"/>
        <v/>
      </c>
    </row>
    <row r="129" spans="1:10" ht="24.95" customHeight="1">
      <c r="A129" s="18">
        <v>13</v>
      </c>
      <c r="B129" s="15" t="s">
        <v>43</v>
      </c>
      <c r="C129" s="40"/>
      <c r="D129" s="99"/>
      <c r="E129" s="19" t="str">
        <f t="shared" si="48"/>
        <v/>
      </c>
      <c r="F129" s="42" t="str">
        <f t="shared" si="49"/>
        <v/>
      </c>
      <c r="G129" s="40"/>
      <c r="H129" s="40"/>
      <c r="I129" s="19" t="str">
        <f t="shared" si="50"/>
        <v/>
      </c>
      <c r="J129" s="42" t="str">
        <f t="shared" si="51"/>
        <v/>
      </c>
    </row>
    <row r="130" spans="1:10" ht="24.95" customHeight="1">
      <c r="A130" s="18">
        <v>14</v>
      </c>
      <c r="B130" s="15" t="s">
        <v>44</v>
      </c>
      <c r="C130" s="40">
        <v>45901.9</v>
      </c>
      <c r="D130" s="99">
        <v>118316</v>
      </c>
      <c r="E130" s="19">
        <f t="shared" si="48"/>
        <v>72414.100000000006</v>
      </c>
      <c r="F130" s="42">
        <f t="shared" si="49"/>
        <v>2.5775839344340867</v>
      </c>
      <c r="G130" s="40">
        <v>45901.9</v>
      </c>
      <c r="H130" s="40">
        <v>111316</v>
      </c>
      <c r="I130" s="19">
        <f t="shared" si="50"/>
        <v>65414.1</v>
      </c>
      <c r="J130" s="42">
        <f t="shared" si="51"/>
        <v>2.4250848004113119</v>
      </c>
    </row>
    <row r="131" spans="1:10" ht="24.95" customHeight="1">
      <c r="A131" s="18">
        <v>15</v>
      </c>
      <c r="B131" s="15" t="s">
        <v>45</v>
      </c>
      <c r="C131" s="40">
        <v>44901.868000000002</v>
      </c>
      <c r="D131" s="99">
        <v>111315.99</v>
      </c>
      <c r="E131" s="19">
        <f t="shared" si="48"/>
        <v>66414.122000000003</v>
      </c>
      <c r="F131" s="42">
        <f t="shared" si="49"/>
        <v>2.4790948563654411</v>
      </c>
      <c r="G131" s="40">
        <v>44901.868000000002</v>
      </c>
      <c r="H131" s="40">
        <v>111316</v>
      </c>
      <c r="I131" s="19">
        <f t="shared" si="50"/>
        <v>66414.131999999998</v>
      </c>
      <c r="J131" s="42">
        <f t="shared" si="51"/>
        <v>2.4790950790733248</v>
      </c>
    </row>
    <row r="132" spans="1:10" ht="24.95" customHeight="1">
      <c r="A132" s="18">
        <v>16</v>
      </c>
      <c r="B132" s="15" t="s">
        <v>46</v>
      </c>
      <c r="C132" s="40"/>
      <c r="D132" s="99"/>
      <c r="E132" s="19" t="str">
        <f t="shared" si="48"/>
        <v/>
      </c>
      <c r="F132" s="42" t="str">
        <f t="shared" si="49"/>
        <v/>
      </c>
      <c r="G132" s="40"/>
      <c r="H132" s="40"/>
      <c r="I132" s="19" t="str">
        <f t="shared" si="50"/>
        <v/>
      </c>
      <c r="J132" s="42" t="str">
        <f t="shared" si="51"/>
        <v/>
      </c>
    </row>
    <row r="134" spans="1:10">
      <c r="A134" s="140" t="s">
        <v>249</v>
      </c>
      <c r="B134" s="140"/>
      <c r="C134" s="140"/>
      <c r="D134" s="140"/>
      <c r="E134" s="140"/>
      <c r="F134" s="140"/>
      <c r="G134" s="140"/>
      <c r="H134" s="140"/>
      <c r="I134" s="140"/>
      <c r="J134" s="140"/>
    </row>
    <row r="135" spans="1:10">
      <c r="A135" s="139"/>
      <c r="B135" s="139"/>
      <c r="C135" s="139"/>
      <c r="D135" s="139"/>
      <c r="E135" s="139"/>
      <c r="F135" s="139"/>
      <c r="G135" s="139"/>
      <c r="H135" s="139"/>
      <c r="I135" s="139"/>
      <c r="J135" s="139"/>
    </row>
    <row r="136" spans="1:10" ht="50.1" customHeight="1">
      <c r="A136" s="18"/>
      <c r="B136" s="67" t="s">
        <v>47</v>
      </c>
      <c r="C136" s="97" t="str">
        <f>"Факт " &amp;$J2&amp; " 2023 г"</f>
        <v>Факт Сентябрь 2023 г</v>
      </c>
      <c r="D136" s="97" t="str">
        <f xml:space="preserve"> "Факт " &amp;$J2&amp; " 2024 г"</f>
        <v>Факт Сентябрь 2024 г</v>
      </c>
      <c r="E136" s="147" t="s">
        <v>252</v>
      </c>
      <c r="F136" s="148"/>
      <c r="G136" s="97" t="str">
        <f xml:space="preserve"> "Факт Январь -" &amp;$J2&amp; " 2023 г"</f>
        <v>Факт Январь -Сентябрь 2023 г</v>
      </c>
      <c r="H136" s="97" t="str">
        <f xml:space="preserve"> "Факт Январь -" &amp;$J2&amp; " 2024 г"</f>
        <v>Факт Январь -Сентябрь 2024 г</v>
      </c>
      <c r="I136" s="147" t="s">
        <v>252</v>
      </c>
      <c r="J136" s="148"/>
    </row>
    <row r="137" spans="1:10" ht="47.25" customHeight="1">
      <c r="A137" s="93"/>
      <c r="B137" s="64"/>
      <c r="C137" s="81"/>
      <c r="D137" s="81"/>
      <c r="E137" s="28" t="s">
        <v>3</v>
      </c>
      <c r="F137" s="12" t="s">
        <v>4</v>
      </c>
      <c r="G137" s="20"/>
      <c r="H137" s="20"/>
      <c r="I137" s="28" t="s">
        <v>3</v>
      </c>
      <c r="J137" s="12" t="s">
        <v>4</v>
      </c>
    </row>
    <row r="138" spans="1:10" ht="15" customHeight="1">
      <c r="A138" s="18" t="s">
        <v>1</v>
      </c>
      <c r="B138" s="12" t="s">
        <v>12</v>
      </c>
      <c r="C138" s="12">
        <v>1</v>
      </c>
      <c r="D138" s="12">
        <v>2</v>
      </c>
      <c r="E138" s="12">
        <v>3</v>
      </c>
      <c r="F138" s="12">
        <v>4</v>
      </c>
      <c r="G138" s="12">
        <v>5</v>
      </c>
      <c r="H138" s="12">
        <v>6</v>
      </c>
      <c r="I138" s="12">
        <v>7</v>
      </c>
      <c r="J138" s="12">
        <v>8</v>
      </c>
    </row>
    <row r="139" spans="1:10" ht="24.95" customHeight="1">
      <c r="A139" s="18">
        <v>1</v>
      </c>
      <c r="B139" s="29" t="s">
        <v>31</v>
      </c>
      <c r="C139" s="40">
        <v>15</v>
      </c>
      <c r="D139" s="99">
        <v>22</v>
      </c>
      <c r="E139" s="19">
        <f t="shared" ref="E139:E154" si="52">IF(AND(C139=0,D139=0),"",IFERROR(IF(OR(D139=0,D139=""),-C139,D139-C139),""))</f>
        <v>7</v>
      </c>
      <c r="F139" s="42">
        <f t="shared" ref="F139:F154" si="53">IF(AND(D139=0,C139=0),"",IFERROR(IF(C139=0, D139, D139/C139),""))</f>
        <v>1.4666666666666666</v>
      </c>
      <c r="G139" s="40">
        <v>15</v>
      </c>
      <c r="H139" s="40">
        <v>22</v>
      </c>
      <c r="I139" s="19">
        <f t="shared" ref="I139:I154" si="54">IF(AND(G139=0,H139=0),"",IFERROR(IF(OR(H139=0,H139=""),-G139,H139-G139),""))</f>
        <v>7</v>
      </c>
      <c r="J139" s="42">
        <f t="shared" ref="J139:J154" si="55">IF(AND(H139=0,G139=0),"",IFERROR(IF(G139=0, H139, H139/G139),""))</f>
        <v>1.4666666666666666</v>
      </c>
    </row>
    <row r="140" spans="1:10" ht="24.95" customHeight="1">
      <c r="A140" s="18">
        <v>2</v>
      </c>
      <c r="B140" s="15" t="s">
        <v>48</v>
      </c>
      <c r="C140" s="40">
        <v>6</v>
      </c>
      <c r="D140" s="99">
        <v>5</v>
      </c>
      <c r="E140" s="19">
        <f t="shared" si="52"/>
        <v>-1</v>
      </c>
      <c r="F140" s="42">
        <f t="shared" si="53"/>
        <v>0.83333333333333337</v>
      </c>
      <c r="G140" s="40">
        <v>6</v>
      </c>
      <c r="H140" s="40">
        <v>5</v>
      </c>
      <c r="I140" s="19">
        <f t="shared" si="54"/>
        <v>-1</v>
      </c>
      <c r="J140" s="42">
        <f t="shared" si="55"/>
        <v>0.83333333333333337</v>
      </c>
    </row>
    <row r="141" spans="1:10" ht="24.95" customHeight="1">
      <c r="A141" s="18">
        <v>3</v>
      </c>
      <c r="B141" s="15" t="s">
        <v>49</v>
      </c>
      <c r="C141" s="40">
        <v>4</v>
      </c>
      <c r="D141" s="99">
        <v>13</v>
      </c>
      <c r="E141" s="19">
        <f t="shared" si="52"/>
        <v>9</v>
      </c>
      <c r="F141" s="42">
        <f t="shared" si="53"/>
        <v>3.25</v>
      </c>
      <c r="G141" s="40">
        <v>4</v>
      </c>
      <c r="H141" s="40">
        <v>13</v>
      </c>
      <c r="I141" s="19">
        <f t="shared" si="54"/>
        <v>9</v>
      </c>
      <c r="J141" s="42">
        <f t="shared" si="55"/>
        <v>3.25</v>
      </c>
    </row>
    <row r="142" spans="1:10" ht="24.95" customHeight="1">
      <c r="A142" s="18">
        <v>4</v>
      </c>
      <c r="B142" s="15" t="s">
        <v>34</v>
      </c>
      <c r="C142" s="40">
        <v>0</v>
      </c>
      <c r="D142" s="99">
        <v>2</v>
      </c>
      <c r="E142" s="19">
        <f t="shared" si="52"/>
        <v>2</v>
      </c>
      <c r="F142" s="42">
        <f t="shared" si="53"/>
        <v>2</v>
      </c>
      <c r="G142" s="40">
        <v>0</v>
      </c>
      <c r="H142" s="40">
        <v>2</v>
      </c>
      <c r="I142" s="19">
        <f t="shared" si="54"/>
        <v>2</v>
      </c>
      <c r="J142" s="42">
        <f t="shared" si="55"/>
        <v>2</v>
      </c>
    </row>
    <row r="143" spans="1:10" ht="24.95" customHeight="1">
      <c r="A143" s="18">
        <v>5</v>
      </c>
      <c r="B143" s="15" t="s">
        <v>35</v>
      </c>
      <c r="C143" s="40">
        <v>5</v>
      </c>
      <c r="D143" s="99">
        <v>2</v>
      </c>
      <c r="E143" s="19">
        <f t="shared" si="52"/>
        <v>-3</v>
      </c>
      <c r="F143" s="42">
        <f t="shared" si="53"/>
        <v>0.4</v>
      </c>
      <c r="G143" s="40">
        <v>5</v>
      </c>
      <c r="H143" s="40">
        <v>2</v>
      </c>
      <c r="I143" s="19">
        <f t="shared" si="54"/>
        <v>-3</v>
      </c>
      <c r="J143" s="42">
        <f t="shared" si="55"/>
        <v>0.4</v>
      </c>
    </row>
    <row r="144" spans="1:10" ht="24.95" customHeight="1">
      <c r="A144" s="18">
        <v>6</v>
      </c>
      <c r="B144" s="15" t="s">
        <v>36</v>
      </c>
      <c r="C144" s="40"/>
      <c r="D144" s="99"/>
      <c r="E144" s="19" t="str">
        <f t="shared" si="52"/>
        <v/>
      </c>
      <c r="F144" s="42" t="str">
        <f t="shared" si="53"/>
        <v/>
      </c>
      <c r="G144" s="40"/>
      <c r="H144" s="40"/>
      <c r="I144" s="19" t="str">
        <f t="shared" si="54"/>
        <v/>
      </c>
      <c r="J144" s="42" t="str">
        <f t="shared" si="55"/>
        <v/>
      </c>
    </row>
    <row r="145" spans="1:10" ht="24.95" customHeight="1">
      <c r="A145" s="18">
        <v>7</v>
      </c>
      <c r="B145" s="15" t="s">
        <v>37</v>
      </c>
      <c r="C145" s="40">
        <v>6</v>
      </c>
      <c r="D145" s="99">
        <v>7</v>
      </c>
      <c r="E145" s="19">
        <f t="shared" si="52"/>
        <v>1</v>
      </c>
      <c r="F145" s="42">
        <f t="shared" si="53"/>
        <v>1.1666666666666667</v>
      </c>
      <c r="G145" s="40">
        <v>6</v>
      </c>
      <c r="H145" s="40">
        <v>7</v>
      </c>
      <c r="I145" s="19">
        <f t="shared" si="54"/>
        <v>1</v>
      </c>
      <c r="J145" s="42">
        <f t="shared" si="55"/>
        <v>1.1666666666666667</v>
      </c>
    </row>
    <row r="146" spans="1:10" ht="24.95" customHeight="1">
      <c r="A146" s="18">
        <v>8</v>
      </c>
      <c r="B146" s="15" t="s">
        <v>50</v>
      </c>
      <c r="C146" s="40">
        <v>1</v>
      </c>
      <c r="D146" s="99">
        <v>3</v>
      </c>
      <c r="E146" s="19">
        <f t="shared" si="52"/>
        <v>2</v>
      </c>
      <c r="F146" s="42">
        <f t="shared" si="53"/>
        <v>3</v>
      </c>
      <c r="G146" s="40">
        <v>1</v>
      </c>
      <c r="H146" s="40">
        <v>3</v>
      </c>
      <c r="I146" s="19">
        <f t="shared" si="54"/>
        <v>2</v>
      </c>
      <c r="J146" s="42">
        <f t="shared" si="55"/>
        <v>3</v>
      </c>
    </row>
    <row r="147" spans="1:10" ht="24.95" customHeight="1">
      <c r="A147" s="18">
        <v>9</v>
      </c>
      <c r="B147" s="15" t="s">
        <v>39</v>
      </c>
      <c r="C147" s="40"/>
      <c r="D147" s="99">
        <v>1</v>
      </c>
      <c r="E147" s="19">
        <f t="shared" si="52"/>
        <v>1</v>
      </c>
      <c r="F147" s="42">
        <f t="shared" si="53"/>
        <v>1</v>
      </c>
      <c r="G147" s="40"/>
      <c r="H147" s="40">
        <v>1</v>
      </c>
      <c r="I147" s="19">
        <f t="shared" si="54"/>
        <v>1</v>
      </c>
      <c r="J147" s="42">
        <f t="shared" si="55"/>
        <v>1</v>
      </c>
    </row>
    <row r="148" spans="1:10" ht="24.95" customHeight="1">
      <c r="A148" s="18">
        <v>10</v>
      </c>
      <c r="B148" s="15" t="s">
        <v>51</v>
      </c>
      <c r="C148" s="40">
        <v>2</v>
      </c>
      <c r="D148" s="99">
        <v>5</v>
      </c>
      <c r="E148" s="19">
        <f t="shared" si="52"/>
        <v>3</v>
      </c>
      <c r="F148" s="42">
        <f t="shared" si="53"/>
        <v>2.5</v>
      </c>
      <c r="G148" s="40">
        <v>2</v>
      </c>
      <c r="H148" s="40">
        <v>5</v>
      </c>
      <c r="I148" s="19">
        <f t="shared" si="54"/>
        <v>3</v>
      </c>
      <c r="J148" s="42">
        <f t="shared" si="55"/>
        <v>2.5</v>
      </c>
    </row>
    <row r="149" spans="1:10" ht="24.95" customHeight="1">
      <c r="A149" s="18">
        <v>11</v>
      </c>
      <c r="B149" s="15" t="s">
        <v>52</v>
      </c>
      <c r="C149" s="40">
        <v>5</v>
      </c>
      <c r="D149" s="99">
        <v>3</v>
      </c>
      <c r="E149" s="19">
        <f t="shared" si="52"/>
        <v>-2</v>
      </c>
      <c r="F149" s="42">
        <f t="shared" si="53"/>
        <v>0.6</v>
      </c>
      <c r="G149" s="40">
        <v>5</v>
      </c>
      <c r="H149" s="40">
        <v>3</v>
      </c>
      <c r="I149" s="19">
        <f t="shared" si="54"/>
        <v>-2</v>
      </c>
      <c r="J149" s="42">
        <f t="shared" si="55"/>
        <v>0.6</v>
      </c>
    </row>
    <row r="150" spans="1:10" ht="24.95" customHeight="1">
      <c r="A150" s="18">
        <v>12</v>
      </c>
      <c r="B150" s="15" t="s">
        <v>53</v>
      </c>
      <c r="C150" s="40">
        <v>1</v>
      </c>
      <c r="D150" s="99">
        <v>4</v>
      </c>
      <c r="E150" s="19">
        <f t="shared" si="52"/>
        <v>3</v>
      </c>
      <c r="F150" s="42">
        <f t="shared" si="53"/>
        <v>4</v>
      </c>
      <c r="G150" s="40">
        <v>1</v>
      </c>
      <c r="H150" s="40">
        <v>4</v>
      </c>
      <c r="I150" s="19">
        <f t="shared" si="54"/>
        <v>3</v>
      </c>
      <c r="J150" s="42">
        <f t="shared" si="55"/>
        <v>4</v>
      </c>
    </row>
    <row r="151" spans="1:10" ht="24.95" customHeight="1">
      <c r="A151" s="18">
        <v>13</v>
      </c>
      <c r="B151" s="15" t="s">
        <v>43</v>
      </c>
      <c r="C151" s="40"/>
      <c r="D151" s="99"/>
      <c r="E151" s="19" t="str">
        <f t="shared" si="52"/>
        <v/>
      </c>
      <c r="F151" s="42" t="str">
        <f t="shared" si="53"/>
        <v/>
      </c>
      <c r="G151" s="40"/>
      <c r="H151" s="40"/>
      <c r="I151" s="19" t="str">
        <f t="shared" si="54"/>
        <v/>
      </c>
      <c r="J151" s="42" t="str">
        <f t="shared" si="55"/>
        <v/>
      </c>
    </row>
    <row r="152" spans="1:10" ht="24.95" customHeight="1">
      <c r="A152" s="18">
        <v>14</v>
      </c>
      <c r="B152" s="15" t="s">
        <v>44</v>
      </c>
      <c r="C152" s="40">
        <v>52899.7</v>
      </c>
      <c r="D152" s="99">
        <v>269427.5</v>
      </c>
      <c r="E152" s="19">
        <f t="shared" si="52"/>
        <v>216527.8</v>
      </c>
      <c r="F152" s="42">
        <f t="shared" si="53"/>
        <v>5.0931763318128462</v>
      </c>
      <c r="G152" s="40">
        <v>52899.7</v>
      </c>
      <c r="H152" s="40">
        <v>258758.6</v>
      </c>
      <c r="I152" s="19">
        <f t="shared" si="54"/>
        <v>205858.90000000002</v>
      </c>
      <c r="J152" s="42">
        <f t="shared" si="55"/>
        <v>4.8914946587598802</v>
      </c>
    </row>
    <row r="153" spans="1:10" ht="24.95" customHeight="1">
      <c r="A153" s="18">
        <v>15</v>
      </c>
      <c r="B153" s="15" t="s">
        <v>45</v>
      </c>
      <c r="C153" s="40">
        <v>46029.267</v>
      </c>
      <c r="D153" s="99">
        <v>202498.56</v>
      </c>
      <c r="E153" s="19">
        <f t="shared" si="52"/>
        <v>156469.29300000001</v>
      </c>
      <c r="F153" s="42">
        <f t="shared" si="53"/>
        <v>4.3993435741655409</v>
      </c>
      <c r="G153" s="40">
        <v>46029.267</v>
      </c>
      <c r="H153" s="40">
        <v>152498.6</v>
      </c>
      <c r="I153" s="19">
        <f t="shared" si="54"/>
        <v>106469.33300000001</v>
      </c>
      <c r="J153" s="42">
        <f t="shared" si="55"/>
        <v>3.3130790459904564</v>
      </c>
    </row>
    <row r="154" spans="1:10" ht="24.95" customHeight="1">
      <c r="A154" s="18">
        <v>16</v>
      </c>
      <c r="B154" s="15" t="s">
        <v>46</v>
      </c>
      <c r="C154" s="40"/>
      <c r="D154" s="99"/>
      <c r="E154" s="19" t="str">
        <f t="shared" si="52"/>
        <v/>
      </c>
      <c r="F154" s="42" t="str">
        <f t="shared" si="53"/>
        <v/>
      </c>
      <c r="G154" s="40"/>
      <c r="H154" s="40"/>
      <c r="I154" s="19" t="str">
        <f t="shared" si="54"/>
        <v/>
      </c>
      <c r="J154" s="42" t="str">
        <f t="shared" si="55"/>
        <v/>
      </c>
    </row>
    <row r="156" spans="1:10">
      <c r="A156" s="140" t="s">
        <v>245</v>
      </c>
      <c r="B156" s="140"/>
      <c r="C156" s="140"/>
      <c r="D156" s="140"/>
      <c r="E156" s="140"/>
      <c r="F156" s="140"/>
      <c r="G156" s="140"/>
      <c r="H156" s="140"/>
      <c r="I156" s="140"/>
      <c r="J156" s="140"/>
    </row>
    <row r="157" spans="1:10">
      <c r="A157" s="139"/>
      <c r="B157" s="139"/>
      <c r="C157" s="139"/>
      <c r="D157" s="139"/>
      <c r="E157" s="139"/>
      <c r="F157" s="139"/>
      <c r="G157" s="139"/>
      <c r="H157" s="139"/>
      <c r="I157" s="139"/>
      <c r="J157" s="139"/>
    </row>
    <row r="158" spans="1:10" ht="50.1" customHeight="1">
      <c r="A158" s="18"/>
      <c r="B158" s="67" t="s">
        <v>47</v>
      </c>
      <c r="C158" s="97" t="str">
        <f>"Факт " &amp;$J2&amp; " 2023 г"</f>
        <v>Факт Сентябрь 2023 г</v>
      </c>
      <c r="D158" s="97" t="str">
        <f xml:space="preserve"> "Факт " &amp;$J2&amp; " 2024 г"</f>
        <v>Факт Сентябрь 2024 г</v>
      </c>
      <c r="E158" s="147" t="s">
        <v>252</v>
      </c>
      <c r="F158" s="148"/>
      <c r="G158" s="97" t="str">
        <f xml:space="preserve"> "Факт Январь -" &amp;$J2&amp; " 2023 г"</f>
        <v>Факт Январь -Сентябрь 2023 г</v>
      </c>
      <c r="H158" s="97" t="str">
        <f xml:space="preserve"> "Факт Январь -" &amp;$J2&amp; " 2024 г"</f>
        <v>Факт Январь -Сентябрь 2024 г</v>
      </c>
      <c r="I158" s="147" t="s">
        <v>252</v>
      </c>
      <c r="J158" s="148"/>
    </row>
    <row r="159" spans="1:10" ht="47.25" customHeight="1">
      <c r="A159" s="93"/>
      <c r="B159" s="64"/>
      <c r="C159" s="81"/>
      <c r="D159" s="81"/>
      <c r="E159" s="28" t="s">
        <v>3</v>
      </c>
      <c r="F159" s="12" t="s">
        <v>4</v>
      </c>
      <c r="G159" s="20"/>
      <c r="H159" s="20"/>
      <c r="I159" s="28" t="s">
        <v>3</v>
      </c>
      <c r="J159" s="12" t="s">
        <v>4</v>
      </c>
    </row>
    <row r="160" spans="1:10" ht="15" customHeight="1">
      <c r="A160" s="18" t="s">
        <v>1</v>
      </c>
      <c r="B160" s="12" t="s">
        <v>12</v>
      </c>
      <c r="C160" s="12">
        <v>1</v>
      </c>
      <c r="D160" s="12">
        <v>2</v>
      </c>
      <c r="E160" s="12">
        <v>3</v>
      </c>
      <c r="F160" s="12">
        <v>4</v>
      </c>
      <c r="G160" s="12">
        <v>5</v>
      </c>
      <c r="H160" s="12">
        <v>6</v>
      </c>
      <c r="I160" s="12">
        <v>7</v>
      </c>
      <c r="J160" s="12">
        <v>8</v>
      </c>
    </row>
    <row r="161" spans="1:10" ht="24.95" customHeight="1">
      <c r="A161" s="18">
        <v>1</v>
      </c>
      <c r="B161" s="29" t="s">
        <v>31</v>
      </c>
      <c r="C161" s="40">
        <v>9</v>
      </c>
      <c r="D161" s="99">
        <v>8</v>
      </c>
      <c r="E161" s="19">
        <f t="shared" ref="E161:E176" si="56">IF(AND(C161=0,D161=0),"",IFERROR(IF(OR(D161=0,D161=""),-C161,D161-C161),""))</f>
        <v>-1</v>
      </c>
      <c r="F161" s="42">
        <f t="shared" ref="F161:F176" si="57">IF(AND(D161=0,C161=0),"",IFERROR(IF(C161=0, D161, D161/C161),""))</f>
        <v>0.88888888888888884</v>
      </c>
      <c r="G161" s="40">
        <v>9</v>
      </c>
      <c r="H161" s="40">
        <v>8</v>
      </c>
      <c r="I161" s="19">
        <f t="shared" ref="I161:I176" si="58">IF(AND(G161=0,H161=0),"",IFERROR(IF(OR(H161=0,H161=""),-G161,H161-G161),""))</f>
        <v>-1</v>
      </c>
      <c r="J161" s="42">
        <f t="shared" ref="J161:J176" si="59">IF(AND(H161=0,G161=0),"",IFERROR(IF(G161=0, H161, H161/G161),""))</f>
        <v>0.88888888888888884</v>
      </c>
    </row>
    <row r="162" spans="1:10" ht="24.95" customHeight="1">
      <c r="A162" s="18">
        <v>2</v>
      </c>
      <c r="B162" s="15" t="s">
        <v>48</v>
      </c>
      <c r="C162" s="40">
        <v>4</v>
      </c>
      <c r="D162" s="99">
        <v>2</v>
      </c>
      <c r="E162" s="19">
        <f t="shared" si="56"/>
        <v>-2</v>
      </c>
      <c r="F162" s="42">
        <f t="shared" si="57"/>
        <v>0.5</v>
      </c>
      <c r="G162" s="40">
        <v>4</v>
      </c>
      <c r="H162" s="40">
        <v>2</v>
      </c>
      <c r="I162" s="19">
        <f t="shared" si="58"/>
        <v>-2</v>
      </c>
      <c r="J162" s="42">
        <f t="shared" si="59"/>
        <v>0.5</v>
      </c>
    </row>
    <row r="163" spans="1:10" ht="24.95" customHeight="1">
      <c r="A163" s="18">
        <v>3</v>
      </c>
      <c r="B163" s="15" t="s">
        <v>49</v>
      </c>
      <c r="C163" s="40">
        <v>5</v>
      </c>
      <c r="D163" s="99">
        <v>1</v>
      </c>
      <c r="E163" s="19">
        <f t="shared" si="56"/>
        <v>-4</v>
      </c>
      <c r="F163" s="42">
        <f t="shared" si="57"/>
        <v>0.2</v>
      </c>
      <c r="G163" s="40">
        <v>5</v>
      </c>
      <c r="H163" s="40">
        <v>1</v>
      </c>
      <c r="I163" s="19">
        <f t="shared" si="58"/>
        <v>-4</v>
      </c>
      <c r="J163" s="42">
        <f t="shared" si="59"/>
        <v>0.2</v>
      </c>
    </row>
    <row r="164" spans="1:10" ht="24.95" customHeight="1">
      <c r="A164" s="18">
        <v>4</v>
      </c>
      <c r="B164" s="15" t="s">
        <v>34</v>
      </c>
      <c r="C164" s="40"/>
      <c r="D164" s="99"/>
      <c r="E164" s="19" t="str">
        <f t="shared" si="56"/>
        <v/>
      </c>
      <c r="F164" s="42" t="str">
        <f t="shared" si="57"/>
        <v/>
      </c>
      <c r="G164" s="40"/>
      <c r="H164" s="40"/>
      <c r="I164" s="19" t="str">
        <f t="shared" si="58"/>
        <v/>
      </c>
      <c r="J164" s="42" t="str">
        <f t="shared" si="59"/>
        <v/>
      </c>
    </row>
    <row r="165" spans="1:10" ht="24.95" customHeight="1">
      <c r="A165" s="18">
        <v>5</v>
      </c>
      <c r="B165" s="15" t="s">
        <v>35</v>
      </c>
      <c r="C165" s="40">
        <v>2</v>
      </c>
      <c r="D165" s="99">
        <v>5</v>
      </c>
      <c r="E165" s="19">
        <f t="shared" si="56"/>
        <v>3</v>
      </c>
      <c r="F165" s="42">
        <f t="shared" si="57"/>
        <v>2.5</v>
      </c>
      <c r="G165" s="40">
        <v>2</v>
      </c>
      <c r="H165" s="40">
        <v>5</v>
      </c>
      <c r="I165" s="19">
        <f t="shared" si="58"/>
        <v>3</v>
      </c>
      <c r="J165" s="42">
        <f t="shared" si="59"/>
        <v>2.5</v>
      </c>
    </row>
    <row r="166" spans="1:10" ht="24.95" customHeight="1">
      <c r="A166" s="18">
        <v>6</v>
      </c>
      <c r="B166" s="15" t="s">
        <v>36</v>
      </c>
      <c r="C166" s="40"/>
      <c r="D166" s="99"/>
      <c r="E166" s="19" t="str">
        <f t="shared" si="56"/>
        <v/>
      </c>
      <c r="F166" s="42" t="str">
        <f t="shared" si="57"/>
        <v/>
      </c>
      <c r="G166" s="40"/>
      <c r="H166" s="40"/>
      <c r="I166" s="19" t="str">
        <f t="shared" si="58"/>
        <v/>
      </c>
      <c r="J166" s="42" t="str">
        <f t="shared" si="59"/>
        <v/>
      </c>
    </row>
    <row r="167" spans="1:10" ht="24.95" customHeight="1">
      <c r="A167" s="18">
        <v>7</v>
      </c>
      <c r="B167" s="15" t="s">
        <v>37</v>
      </c>
      <c r="C167" s="40">
        <v>5</v>
      </c>
      <c r="D167" s="99">
        <v>3</v>
      </c>
      <c r="E167" s="19">
        <f t="shared" si="56"/>
        <v>-2</v>
      </c>
      <c r="F167" s="42">
        <f t="shared" si="57"/>
        <v>0.6</v>
      </c>
      <c r="G167" s="40">
        <v>5</v>
      </c>
      <c r="H167" s="40">
        <v>3</v>
      </c>
      <c r="I167" s="19">
        <f t="shared" si="58"/>
        <v>-2</v>
      </c>
      <c r="J167" s="42">
        <f t="shared" si="59"/>
        <v>0.6</v>
      </c>
    </row>
    <row r="168" spans="1:10" ht="24.95" customHeight="1">
      <c r="A168" s="18">
        <v>8</v>
      </c>
      <c r="B168" s="15" t="s">
        <v>50</v>
      </c>
      <c r="C168" s="40">
        <v>1</v>
      </c>
      <c r="D168" s="99">
        <v>2</v>
      </c>
      <c r="E168" s="19">
        <f t="shared" si="56"/>
        <v>1</v>
      </c>
      <c r="F168" s="42">
        <f t="shared" si="57"/>
        <v>2</v>
      </c>
      <c r="G168" s="40">
        <v>1</v>
      </c>
      <c r="H168" s="40">
        <v>2</v>
      </c>
      <c r="I168" s="19">
        <f t="shared" si="58"/>
        <v>1</v>
      </c>
      <c r="J168" s="42">
        <f t="shared" si="59"/>
        <v>2</v>
      </c>
    </row>
    <row r="169" spans="1:10" ht="24.95" customHeight="1">
      <c r="A169" s="18">
        <v>9</v>
      </c>
      <c r="B169" s="15" t="s">
        <v>39</v>
      </c>
      <c r="C169" s="40">
        <v>1</v>
      </c>
      <c r="D169" s="99">
        <v>1</v>
      </c>
      <c r="E169" s="19">
        <f t="shared" si="56"/>
        <v>0</v>
      </c>
      <c r="F169" s="42">
        <f t="shared" si="57"/>
        <v>1</v>
      </c>
      <c r="G169" s="40">
        <v>1</v>
      </c>
      <c r="H169" s="40">
        <v>1</v>
      </c>
      <c r="I169" s="19">
        <f t="shared" si="58"/>
        <v>0</v>
      </c>
      <c r="J169" s="42">
        <f t="shared" si="59"/>
        <v>1</v>
      </c>
    </row>
    <row r="170" spans="1:10" ht="24.95" customHeight="1">
      <c r="A170" s="18">
        <v>10</v>
      </c>
      <c r="B170" s="15" t="s">
        <v>51</v>
      </c>
      <c r="C170" s="40"/>
      <c r="D170" s="99"/>
      <c r="E170" s="19" t="str">
        <f t="shared" si="56"/>
        <v/>
      </c>
      <c r="F170" s="42" t="str">
        <f t="shared" si="57"/>
        <v/>
      </c>
      <c r="G170" s="40"/>
      <c r="H170" s="40"/>
      <c r="I170" s="19" t="str">
        <f t="shared" si="58"/>
        <v/>
      </c>
      <c r="J170" s="42" t="str">
        <f t="shared" si="59"/>
        <v/>
      </c>
    </row>
    <row r="171" spans="1:10" ht="24.95" customHeight="1">
      <c r="A171" s="18">
        <v>11</v>
      </c>
      <c r="B171" s="15" t="s">
        <v>52</v>
      </c>
      <c r="C171" s="40">
        <v>2</v>
      </c>
      <c r="D171" s="99">
        <v>1</v>
      </c>
      <c r="E171" s="19">
        <f t="shared" si="56"/>
        <v>-1</v>
      </c>
      <c r="F171" s="42">
        <f t="shared" si="57"/>
        <v>0.5</v>
      </c>
      <c r="G171" s="40">
        <v>2</v>
      </c>
      <c r="H171" s="40">
        <v>1</v>
      </c>
      <c r="I171" s="19">
        <f t="shared" si="58"/>
        <v>-1</v>
      </c>
      <c r="J171" s="42">
        <f t="shared" si="59"/>
        <v>0.5</v>
      </c>
    </row>
    <row r="172" spans="1:10" ht="24.95" customHeight="1">
      <c r="A172" s="18">
        <v>12</v>
      </c>
      <c r="B172" s="15" t="s">
        <v>53</v>
      </c>
      <c r="C172" s="40"/>
      <c r="D172" s="99">
        <v>1</v>
      </c>
      <c r="E172" s="19">
        <f t="shared" si="56"/>
        <v>1</v>
      </c>
      <c r="F172" s="42">
        <f t="shared" si="57"/>
        <v>1</v>
      </c>
      <c r="G172" s="40"/>
      <c r="H172" s="40">
        <v>1</v>
      </c>
      <c r="I172" s="19">
        <f t="shared" si="58"/>
        <v>1</v>
      </c>
      <c r="J172" s="42">
        <f t="shared" si="59"/>
        <v>1</v>
      </c>
    </row>
    <row r="173" spans="1:10" ht="24.95" customHeight="1">
      <c r="A173" s="18">
        <v>13</v>
      </c>
      <c r="B173" s="15" t="s">
        <v>43</v>
      </c>
      <c r="C173" s="40"/>
      <c r="D173" s="99"/>
      <c r="E173" s="19" t="str">
        <f t="shared" si="56"/>
        <v/>
      </c>
      <c r="F173" s="42" t="str">
        <f t="shared" si="57"/>
        <v/>
      </c>
      <c r="G173" s="40"/>
      <c r="H173" s="40"/>
      <c r="I173" s="19" t="str">
        <f t="shared" si="58"/>
        <v/>
      </c>
      <c r="J173" s="42" t="str">
        <f t="shared" si="59"/>
        <v/>
      </c>
    </row>
    <row r="174" spans="1:10" ht="24.95" customHeight="1">
      <c r="A174" s="18">
        <v>14</v>
      </c>
      <c r="B174" s="15" t="s">
        <v>44</v>
      </c>
      <c r="C174" s="40">
        <v>110040.3</v>
      </c>
      <c r="D174" s="99">
        <v>33917.300000000003</v>
      </c>
      <c r="E174" s="19">
        <f t="shared" si="56"/>
        <v>-76123</v>
      </c>
      <c r="F174" s="42">
        <f t="shared" si="57"/>
        <v>0.30822616804934194</v>
      </c>
      <c r="G174" s="40">
        <v>110040.3</v>
      </c>
      <c r="H174" s="40">
        <v>29917.3</v>
      </c>
      <c r="I174" s="19">
        <f t="shared" si="58"/>
        <v>-80123</v>
      </c>
      <c r="J174" s="42">
        <f t="shared" si="59"/>
        <v>0.27187584912073121</v>
      </c>
    </row>
    <row r="175" spans="1:10" ht="24.95" customHeight="1">
      <c r="A175" s="18">
        <v>15</v>
      </c>
      <c r="B175" s="15" t="s">
        <v>45</v>
      </c>
      <c r="C175" s="40">
        <v>109585.3</v>
      </c>
      <c r="D175" s="99">
        <v>18557.12</v>
      </c>
      <c r="E175" s="19">
        <f t="shared" si="56"/>
        <v>-91028.180000000008</v>
      </c>
      <c r="F175" s="42">
        <f t="shared" si="57"/>
        <v>0.16933950082720947</v>
      </c>
      <c r="G175" s="40">
        <v>109585.3</v>
      </c>
      <c r="H175" s="40">
        <v>18537.099999999999</v>
      </c>
      <c r="I175" s="19">
        <f t="shared" si="58"/>
        <v>-91048.200000000012</v>
      </c>
      <c r="J175" s="42">
        <f t="shared" si="59"/>
        <v>0.16915681209067274</v>
      </c>
    </row>
    <row r="176" spans="1:10" ht="24.95" customHeight="1">
      <c r="A176" s="18">
        <v>16</v>
      </c>
      <c r="B176" s="15" t="s">
        <v>46</v>
      </c>
      <c r="C176" s="40"/>
      <c r="D176" s="99"/>
      <c r="E176" s="19" t="str">
        <f t="shared" si="56"/>
        <v/>
      </c>
      <c r="F176" s="42" t="str">
        <f t="shared" si="57"/>
        <v/>
      </c>
      <c r="G176" s="40"/>
      <c r="H176" s="40"/>
      <c r="I176" s="19" t="str">
        <f t="shared" si="58"/>
        <v/>
      </c>
      <c r="J176" s="42" t="str">
        <f t="shared" si="59"/>
        <v/>
      </c>
    </row>
  </sheetData>
  <sheetProtection algorithmName="SHA-512" hashValue="0HMs4YO5XPVMV6pOj1s/VRM/QylTAN7rthS1Tp+uK6x3zOS8J1P6hvUCDCTpcmDxtaRYZ7rzAELmET/JqGpRkg==" saltValue="QYUT8wwhX6GXLRHJrcFLeA==" spinCount="100000" sheet="1" objects="1" scenarios="1"/>
  <mergeCells count="26">
    <mergeCell ref="A90:J91"/>
    <mergeCell ref="A112:J113"/>
    <mergeCell ref="A134:J135"/>
    <mergeCell ref="A156:J157"/>
    <mergeCell ref="E158:F158"/>
    <mergeCell ref="I158:J158"/>
    <mergeCell ref="E136:F136"/>
    <mergeCell ref="I136:J136"/>
    <mergeCell ref="I114:J114"/>
    <mergeCell ref="E114:F114"/>
    <mergeCell ref="E92:F92"/>
    <mergeCell ref="I92:J92"/>
    <mergeCell ref="E70:F70"/>
    <mergeCell ref="I70:J70"/>
    <mergeCell ref="E48:F48"/>
    <mergeCell ref="I48:J48"/>
    <mergeCell ref="J2:J3"/>
    <mergeCell ref="A1:I3"/>
    <mergeCell ref="A24:J25"/>
    <mergeCell ref="A46:J47"/>
    <mergeCell ref="A68:J69"/>
    <mergeCell ref="E26:F26"/>
    <mergeCell ref="I26:J26"/>
    <mergeCell ref="I4:J4"/>
    <mergeCell ref="C4:D4"/>
    <mergeCell ref="E4:F4"/>
  </mergeCells>
  <pageMargins left="0.25" right="0.25" top="0.75" bottom="0.75" header="0.3" footer="0.3"/>
  <pageSetup paperSize="9" scale="6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971A6-60C9-48A8-8D53-A2731664A915}">
  <sheetPr>
    <pageSetUpPr fitToPage="1"/>
  </sheetPr>
  <dimension ref="A1:Z19"/>
  <sheetViews>
    <sheetView zoomScale="85" zoomScaleNormal="85" workbookViewId="0">
      <selection activeCell="C7" sqref="C7:Z19"/>
    </sheetView>
  </sheetViews>
  <sheetFormatPr defaultRowHeight="15"/>
  <cols>
    <col min="1" max="1" width="3.7109375" customWidth="1"/>
    <col min="2" max="2" width="41.7109375" customWidth="1"/>
    <col min="3" max="4" width="10.7109375" customWidth="1"/>
    <col min="5" max="6" width="11.7109375" customWidth="1"/>
    <col min="9" max="9" width="13" customWidth="1"/>
    <col min="10" max="10" width="12" customWidth="1"/>
    <col min="13" max="13" width="12.28515625" customWidth="1"/>
    <col min="14" max="14" width="13" customWidth="1"/>
    <col min="15" max="15" width="12" customWidth="1"/>
    <col min="16" max="16" width="11.85546875" customWidth="1"/>
    <col min="17" max="17" width="11.7109375" customWidth="1"/>
    <col min="18" max="18" width="11.85546875" customWidth="1"/>
  </cols>
  <sheetData>
    <row r="1" spans="1:26">
      <c r="A1" s="140" t="s">
        <v>265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 t="s">
        <v>14</v>
      </c>
      <c r="Z1" s="140"/>
    </row>
    <row r="2" spans="1:26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1" t="s">
        <v>301</v>
      </c>
      <c r="Z2" s="141"/>
    </row>
    <row r="3" spans="1:26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42"/>
      <c r="Z3" s="142"/>
    </row>
    <row r="4" spans="1:26" ht="73.5" customHeight="1">
      <c r="A4" s="26"/>
      <c r="B4" s="25" t="s">
        <v>145</v>
      </c>
      <c r="C4" s="136" t="s">
        <v>55</v>
      </c>
      <c r="D4" s="143"/>
      <c r="E4" s="136" t="s">
        <v>251</v>
      </c>
      <c r="F4" s="143"/>
      <c r="G4" s="22" t="str">
        <f xml:space="preserve"> "Факт Январь -" &amp;$Y2&amp; " 2023 г"</f>
        <v>Факт Январь -Сентябрь 2023 г</v>
      </c>
      <c r="H4" s="22" t="str">
        <f xml:space="preserve"> "Факт Январь -" &amp;$Y2&amp; " 2024 г"</f>
        <v>Факт Январь -Сентябрь 2024 г</v>
      </c>
      <c r="I4" s="136" t="s">
        <v>251</v>
      </c>
      <c r="J4" s="143"/>
      <c r="K4" s="136" t="s">
        <v>56</v>
      </c>
      <c r="L4" s="143"/>
      <c r="M4" s="136" t="s">
        <v>251</v>
      </c>
      <c r="N4" s="143"/>
      <c r="O4" s="22" t="str">
        <f xml:space="preserve"> "Факт Январь -" &amp;$Y2&amp; " 2023 г"</f>
        <v>Факт Январь -Сентябрь 2023 г</v>
      </c>
      <c r="P4" s="22" t="str">
        <f xml:space="preserve"> "Факт Январь -" &amp;$Y2&amp; " 2024 г"</f>
        <v>Факт Январь -Сентябрь 2024 г</v>
      </c>
      <c r="Q4" s="136" t="s">
        <v>251</v>
      </c>
      <c r="R4" s="143"/>
      <c r="S4" s="136" t="s">
        <v>54</v>
      </c>
      <c r="T4" s="143"/>
      <c r="U4" s="136" t="s">
        <v>251</v>
      </c>
      <c r="V4" s="143"/>
      <c r="W4" s="22" t="str">
        <f xml:space="preserve"> "Факт Январь -" &amp;$Y2&amp; " 2023 г"</f>
        <v>Факт Январь -Сентябрь 2023 г</v>
      </c>
      <c r="X4" s="22" t="str">
        <f xml:space="preserve"> "Факт Январь -" &amp;$Y2&amp; " 2024 г"</f>
        <v>Факт Январь -Сентябрь 2024 г</v>
      </c>
      <c r="Y4" s="136" t="s">
        <v>251</v>
      </c>
      <c r="Z4" s="143"/>
    </row>
    <row r="5" spans="1:26" ht="37.5" customHeight="1">
      <c r="A5" s="26"/>
      <c r="B5" s="25"/>
      <c r="C5" s="21" t="str">
        <f>"Факт " &amp;$Y2 &amp; " 2023 г"</f>
        <v>Факт Сентябрь 2023 г</v>
      </c>
      <c r="D5" s="21" t="str">
        <f>"Факт " &amp;$Y2 &amp; " 2024 г"</f>
        <v>Факт Сентябрь 2024 г</v>
      </c>
      <c r="E5" s="18" t="s">
        <v>140</v>
      </c>
      <c r="F5" s="17" t="s">
        <v>4</v>
      </c>
      <c r="G5" s="21"/>
      <c r="H5" s="21"/>
      <c r="I5" s="18" t="s">
        <v>140</v>
      </c>
      <c r="J5" s="17" t="s">
        <v>4</v>
      </c>
      <c r="K5" s="21" t="str">
        <f>"Факт " &amp;$Y2 &amp; " 2023 г"</f>
        <v>Факт Сентябрь 2023 г</v>
      </c>
      <c r="L5" s="21" t="str">
        <f>"Факт " &amp;$Y2 &amp; " 2024 г"</f>
        <v>Факт Сентябрь 2024 г</v>
      </c>
      <c r="M5" s="18" t="s">
        <v>140</v>
      </c>
      <c r="N5" s="17" t="s">
        <v>4</v>
      </c>
      <c r="O5" s="21"/>
      <c r="P5" s="21"/>
      <c r="Q5" s="18" t="s">
        <v>140</v>
      </c>
      <c r="R5" s="17" t="s">
        <v>4</v>
      </c>
      <c r="S5" s="21" t="str">
        <f>"Факт " &amp;$Y2 &amp; " 2023 г"</f>
        <v>Факт Сентябрь 2023 г</v>
      </c>
      <c r="T5" s="21" t="str">
        <f>"Факт " &amp;$Y2 &amp; " 2024 г"</f>
        <v>Факт Сентябрь 2024 г</v>
      </c>
      <c r="U5" s="18" t="s">
        <v>140</v>
      </c>
      <c r="V5" s="17" t="s">
        <v>4</v>
      </c>
      <c r="W5" s="21"/>
      <c r="X5" s="21"/>
      <c r="Y5" s="18" t="s">
        <v>140</v>
      </c>
      <c r="Z5" s="17" t="s">
        <v>4</v>
      </c>
    </row>
    <row r="6" spans="1:26" ht="15" customHeight="1">
      <c r="A6" s="18" t="s">
        <v>1</v>
      </c>
      <c r="B6" s="12" t="s">
        <v>12</v>
      </c>
      <c r="C6" s="17">
        <v>1</v>
      </c>
      <c r="D6" s="18">
        <v>2</v>
      </c>
      <c r="E6" s="18">
        <v>3</v>
      </c>
      <c r="F6" s="17">
        <v>4</v>
      </c>
      <c r="G6" s="18">
        <v>5</v>
      </c>
      <c r="H6" s="18">
        <v>6</v>
      </c>
      <c r="I6" s="17">
        <v>7</v>
      </c>
      <c r="J6" s="18">
        <v>8</v>
      </c>
      <c r="K6" s="18">
        <v>9</v>
      </c>
      <c r="L6" s="17">
        <v>10</v>
      </c>
      <c r="M6" s="18">
        <v>11</v>
      </c>
      <c r="N6" s="18">
        <v>12</v>
      </c>
      <c r="O6" s="17">
        <v>13</v>
      </c>
      <c r="P6" s="18">
        <v>14</v>
      </c>
      <c r="Q6" s="18">
        <v>15</v>
      </c>
      <c r="R6" s="17">
        <v>16</v>
      </c>
      <c r="S6" s="18">
        <v>17</v>
      </c>
      <c r="T6" s="18">
        <v>18</v>
      </c>
      <c r="U6" s="17">
        <v>19</v>
      </c>
      <c r="V6" s="18">
        <v>20</v>
      </c>
      <c r="W6" s="18">
        <v>21</v>
      </c>
      <c r="X6" s="17">
        <v>22</v>
      </c>
      <c r="Y6" s="18">
        <v>23</v>
      </c>
      <c r="Z6" s="18">
        <v>24</v>
      </c>
    </row>
    <row r="7" spans="1:26" ht="24.95" customHeight="1">
      <c r="A7" s="10">
        <v>1</v>
      </c>
      <c r="B7" s="23" t="s">
        <v>57</v>
      </c>
      <c r="C7" s="113">
        <v>576</v>
      </c>
      <c r="D7" s="83">
        <v>523</v>
      </c>
      <c r="E7" s="18">
        <f t="shared" ref="E7" si="0">IF(AND(C7=0,D7=0),"",IFERROR(IF(OR(D7=0,D7=""),-C7,D7-C7),""))</f>
        <v>-53</v>
      </c>
      <c r="F7" s="84">
        <f t="shared" ref="F7" si="1">IF(AND(D7=0,C7=0),"",IFERROR(IF(C7=0, D7, D7/C7),""))</f>
        <v>0.90798611111111116</v>
      </c>
      <c r="G7" s="83">
        <v>67</v>
      </c>
      <c r="H7" s="83">
        <v>61</v>
      </c>
      <c r="I7" s="18">
        <f t="shared" ref="I7:I19" si="2">IF(AND(G7=0,H7=0),"",IFERROR(IF(OR(H7=0,H7=""),-G7,H7-G7),""))</f>
        <v>-6</v>
      </c>
      <c r="J7" s="84">
        <f t="shared" ref="J7:J19" si="3">IF(AND(H7=0,G7=0),"",IFERROR(IF(G7=0, H7, H7/G7),""))</f>
        <v>0.91044776119402981</v>
      </c>
      <c r="K7" s="113">
        <v>1146</v>
      </c>
      <c r="L7" s="83">
        <v>1143</v>
      </c>
      <c r="M7" s="18">
        <f t="shared" ref="M7:M19" si="4">IF(AND(K7=0,L7=0),"",IFERROR(IF(OR(L7=0,L7=""),-K7,L7-K7),""))</f>
        <v>-3</v>
      </c>
      <c r="N7" s="84">
        <f t="shared" ref="N7:N19" si="5">IF(AND(L7=0,K7=0),"",IFERROR(IF(K7=0, L7, L7/K7),""))</f>
        <v>0.99738219895287961</v>
      </c>
      <c r="O7" s="83">
        <v>198</v>
      </c>
      <c r="P7" s="83">
        <v>143</v>
      </c>
      <c r="Q7" s="18">
        <f t="shared" ref="Q7:Q19" si="6">IF(AND(O7=0,P7=0),"",IFERROR(IF(OR(P7=0,P7=""),-O7,P7-O7),""))</f>
        <v>-55</v>
      </c>
      <c r="R7" s="84">
        <f t="shared" ref="R7:R19" si="7">IF(AND(P7=0,O7=0),"",IFERROR(IF(O7=0, P7, P7/O7),""))</f>
        <v>0.72222222222222221</v>
      </c>
      <c r="S7" s="17">
        <f>IF(C7+K7=0,"",C7+K7)</f>
        <v>1722</v>
      </c>
      <c r="T7" s="17">
        <f>IF(D7+L7=0,"",D7+L7)</f>
        <v>1666</v>
      </c>
      <c r="U7" s="18">
        <f>IFERROR(T7-S7,"")</f>
        <v>-56</v>
      </c>
      <c r="V7" s="84">
        <f>IFERROR(T7/S7,"")</f>
        <v>0.96747967479674801</v>
      </c>
      <c r="W7" s="18">
        <f>IF(G7+O7=0,"",G7+O7)</f>
        <v>265</v>
      </c>
      <c r="X7" s="18">
        <f>IF(H7+P7=0,"",H7+P7)</f>
        <v>204</v>
      </c>
      <c r="Y7" s="18">
        <f t="shared" ref="Y7:Y19" si="8">IF(AND(W7=0,X7=0),"",IFERROR(IF(OR(X7=0,X7=""),-W7,X7-W7),""))</f>
        <v>-61</v>
      </c>
      <c r="Z7" s="84">
        <f t="shared" ref="Z7:Z19" si="9">IF(AND(X7=0,W7=0),"",IFERROR(IF(W7=0, X7, X7/W7),""))</f>
        <v>0.76981132075471703</v>
      </c>
    </row>
    <row r="8" spans="1:26" ht="24.95" customHeight="1">
      <c r="A8" s="10">
        <v>2</v>
      </c>
      <c r="B8" s="24" t="s">
        <v>58</v>
      </c>
      <c r="C8" s="83">
        <v>32</v>
      </c>
      <c r="D8" s="83">
        <v>26</v>
      </c>
      <c r="E8" s="18">
        <f t="shared" ref="E8:E19" si="10">IF(AND(C8=0,D8=0),"",IFERROR(IF(OR(D8=0,D8=""),-C8,D8-C8),""))</f>
        <v>-6</v>
      </c>
      <c r="F8" s="84">
        <f t="shared" ref="F8:F19" si="11">IF(AND(D8=0,C8=0),"",IFERROR(IF(C8=0, D8, D8/C8),""))</f>
        <v>0.8125</v>
      </c>
      <c r="G8" s="83">
        <v>0</v>
      </c>
      <c r="H8" s="83">
        <v>3</v>
      </c>
      <c r="I8" s="18">
        <f t="shared" si="2"/>
        <v>3</v>
      </c>
      <c r="J8" s="84">
        <f t="shared" si="3"/>
        <v>3</v>
      </c>
      <c r="K8" s="83">
        <v>131</v>
      </c>
      <c r="L8" s="83">
        <v>171</v>
      </c>
      <c r="M8" s="18">
        <f t="shared" si="4"/>
        <v>40</v>
      </c>
      <c r="N8" s="84">
        <f t="shared" si="5"/>
        <v>1.3053435114503817</v>
      </c>
      <c r="O8" s="83">
        <v>18</v>
      </c>
      <c r="P8" s="83">
        <v>27</v>
      </c>
      <c r="Q8" s="18">
        <f t="shared" si="6"/>
        <v>9</v>
      </c>
      <c r="R8" s="84">
        <f t="shared" si="7"/>
        <v>1.5</v>
      </c>
      <c r="S8" s="17">
        <f t="shared" ref="S8:S19" si="12">IF(C8+K8=0,"",C8+K8)</f>
        <v>163</v>
      </c>
      <c r="T8" s="17">
        <f t="shared" ref="T8:T19" si="13">IF(D8+L8=0,"",D8+L8)</f>
        <v>197</v>
      </c>
      <c r="U8" s="18">
        <f t="shared" ref="U8:U19" si="14">IFERROR(T8-S8,"")</f>
        <v>34</v>
      </c>
      <c r="V8" s="84">
        <f t="shared" ref="V8:V19" si="15">IFERROR(T8/S8,"")</f>
        <v>1.2085889570552146</v>
      </c>
      <c r="W8" s="18">
        <f t="shared" ref="W8:W19" si="16">IF(G8+O8=0,"",G8+O8)</f>
        <v>18</v>
      </c>
      <c r="X8" s="18">
        <f t="shared" ref="X8:X19" si="17">IF(H8+P8=0,"",H8+P8)</f>
        <v>30</v>
      </c>
      <c r="Y8" s="18">
        <f t="shared" si="8"/>
        <v>12</v>
      </c>
      <c r="Z8" s="84">
        <f t="shared" si="9"/>
        <v>1.6666666666666667</v>
      </c>
    </row>
    <row r="9" spans="1:26" ht="24.95" customHeight="1">
      <c r="A9" s="10">
        <v>3</v>
      </c>
      <c r="B9" s="24" t="s">
        <v>59</v>
      </c>
      <c r="C9" s="83">
        <v>21</v>
      </c>
      <c r="D9" s="83">
        <v>27</v>
      </c>
      <c r="E9" s="18">
        <f t="shared" si="10"/>
        <v>6</v>
      </c>
      <c r="F9" s="84">
        <f t="shared" si="11"/>
        <v>1.2857142857142858</v>
      </c>
      <c r="G9" s="83">
        <v>1</v>
      </c>
      <c r="H9" s="83">
        <v>1</v>
      </c>
      <c r="I9" s="18">
        <f t="shared" si="2"/>
        <v>0</v>
      </c>
      <c r="J9" s="84">
        <f t="shared" si="3"/>
        <v>1</v>
      </c>
      <c r="K9" s="83">
        <v>167</v>
      </c>
      <c r="L9" s="83">
        <v>153</v>
      </c>
      <c r="M9" s="18">
        <f t="shared" si="4"/>
        <v>-14</v>
      </c>
      <c r="N9" s="84">
        <f t="shared" si="5"/>
        <v>0.91616766467065869</v>
      </c>
      <c r="O9" s="83">
        <v>33</v>
      </c>
      <c r="P9" s="83">
        <v>13</v>
      </c>
      <c r="Q9" s="18">
        <f t="shared" si="6"/>
        <v>-20</v>
      </c>
      <c r="R9" s="84">
        <f t="shared" si="7"/>
        <v>0.39393939393939392</v>
      </c>
      <c r="S9" s="17">
        <f t="shared" si="12"/>
        <v>188</v>
      </c>
      <c r="T9" s="17">
        <f t="shared" si="13"/>
        <v>180</v>
      </c>
      <c r="U9" s="18">
        <f t="shared" si="14"/>
        <v>-8</v>
      </c>
      <c r="V9" s="84">
        <f t="shared" si="15"/>
        <v>0.95744680851063835</v>
      </c>
      <c r="W9" s="18">
        <f t="shared" si="16"/>
        <v>34</v>
      </c>
      <c r="X9" s="18">
        <f t="shared" si="17"/>
        <v>14</v>
      </c>
      <c r="Y9" s="18">
        <f t="shared" si="8"/>
        <v>-20</v>
      </c>
      <c r="Z9" s="84">
        <f t="shared" si="9"/>
        <v>0.41176470588235292</v>
      </c>
    </row>
    <row r="10" spans="1:26" ht="24.95" customHeight="1">
      <c r="A10" s="10">
        <v>4</v>
      </c>
      <c r="B10" s="24" t="s">
        <v>60</v>
      </c>
      <c r="C10" s="83">
        <v>13</v>
      </c>
      <c r="D10" s="83">
        <v>18</v>
      </c>
      <c r="E10" s="18">
        <f t="shared" si="10"/>
        <v>5</v>
      </c>
      <c r="F10" s="84">
        <f t="shared" si="11"/>
        <v>1.3846153846153846</v>
      </c>
      <c r="G10" s="83">
        <v>0</v>
      </c>
      <c r="H10" s="83">
        <v>1</v>
      </c>
      <c r="I10" s="18">
        <f t="shared" si="2"/>
        <v>1</v>
      </c>
      <c r="J10" s="84">
        <f t="shared" si="3"/>
        <v>1</v>
      </c>
      <c r="K10" s="83">
        <v>31</v>
      </c>
      <c r="L10" s="83">
        <v>14</v>
      </c>
      <c r="M10" s="18">
        <f t="shared" si="4"/>
        <v>-17</v>
      </c>
      <c r="N10" s="84">
        <f t="shared" si="5"/>
        <v>0.45161290322580644</v>
      </c>
      <c r="O10" s="83">
        <v>5</v>
      </c>
      <c r="P10" s="83">
        <v>2</v>
      </c>
      <c r="Q10" s="18">
        <f t="shared" si="6"/>
        <v>-3</v>
      </c>
      <c r="R10" s="84">
        <f t="shared" si="7"/>
        <v>0.4</v>
      </c>
      <c r="S10" s="17">
        <f t="shared" si="12"/>
        <v>44</v>
      </c>
      <c r="T10" s="17">
        <f t="shared" si="13"/>
        <v>32</v>
      </c>
      <c r="U10" s="18">
        <f t="shared" si="14"/>
        <v>-12</v>
      </c>
      <c r="V10" s="84">
        <f t="shared" si="15"/>
        <v>0.72727272727272729</v>
      </c>
      <c r="W10" s="18">
        <f t="shared" si="16"/>
        <v>5</v>
      </c>
      <c r="X10" s="18">
        <f t="shared" si="17"/>
        <v>3</v>
      </c>
      <c r="Y10" s="18">
        <f t="shared" si="8"/>
        <v>-2</v>
      </c>
      <c r="Z10" s="84">
        <f t="shared" si="9"/>
        <v>0.6</v>
      </c>
    </row>
    <row r="11" spans="1:26" ht="24.95" customHeight="1">
      <c r="A11" s="10">
        <v>5</v>
      </c>
      <c r="B11" s="24" t="s">
        <v>61</v>
      </c>
      <c r="C11" s="83">
        <v>192</v>
      </c>
      <c r="D11" s="83">
        <v>177</v>
      </c>
      <c r="E11" s="18">
        <f t="shared" si="10"/>
        <v>-15</v>
      </c>
      <c r="F11" s="84">
        <f t="shared" si="11"/>
        <v>0.921875</v>
      </c>
      <c r="G11" s="83">
        <v>32</v>
      </c>
      <c r="H11" s="83">
        <v>23</v>
      </c>
      <c r="I11" s="18">
        <f t="shared" si="2"/>
        <v>-9</v>
      </c>
      <c r="J11" s="84">
        <f t="shared" si="3"/>
        <v>0.71875</v>
      </c>
      <c r="K11" s="83">
        <v>8</v>
      </c>
      <c r="L11" s="83">
        <v>4</v>
      </c>
      <c r="M11" s="18">
        <f t="shared" si="4"/>
        <v>-4</v>
      </c>
      <c r="N11" s="84">
        <f t="shared" si="5"/>
        <v>0.5</v>
      </c>
      <c r="O11" s="83">
        <v>5</v>
      </c>
      <c r="P11" s="83">
        <v>1</v>
      </c>
      <c r="Q11" s="18">
        <f t="shared" si="6"/>
        <v>-4</v>
      </c>
      <c r="R11" s="84">
        <f t="shared" si="7"/>
        <v>0.2</v>
      </c>
      <c r="S11" s="17">
        <f t="shared" si="12"/>
        <v>200</v>
      </c>
      <c r="T11" s="17">
        <f t="shared" si="13"/>
        <v>181</v>
      </c>
      <c r="U11" s="18">
        <f t="shared" si="14"/>
        <v>-19</v>
      </c>
      <c r="V11" s="84">
        <f t="shared" si="15"/>
        <v>0.90500000000000003</v>
      </c>
      <c r="W11" s="18">
        <f t="shared" si="16"/>
        <v>37</v>
      </c>
      <c r="X11" s="18">
        <f t="shared" si="17"/>
        <v>24</v>
      </c>
      <c r="Y11" s="18">
        <f t="shared" si="8"/>
        <v>-13</v>
      </c>
      <c r="Z11" s="84">
        <f t="shared" si="9"/>
        <v>0.64864864864864868</v>
      </c>
    </row>
    <row r="12" spans="1:26" ht="24.95" customHeight="1">
      <c r="A12" s="10">
        <v>6</v>
      </c>
      <c r="B12" s="24" t="s">
        <v>62</v>
      </c>
      <c r="C12" s="83">
        <v>40</v>
      </c>
      <c r="D12" s="83">
        <v>29</v>
      </c>
      <c r="E12" s="18">
        <f t="shared" si="10"/>
        <v>-11</v>
      </c>
      <c r="F12" s="84">
        <f t="shared" si="11"/>
        <v>0.72499999999999998</v>
      </c>
      <c r="G12" s="83">
        <v>4</v>
      </c>
      <c r="H12" s="83">
        <v>6</v>
      </c>
      <c r="I12" s="18">
        <f t="shared" si="2"/>
        <v>2</v>
      </c>
      <c r="J12" s="84">
        <f t="shared" si="3"/>
        <v>1.5</v>
      </c>
      <c r="K12" s="83">
        <v>250</v>
      </c>
      <c r="L12" s="83">
        <v>311</v>
      </c>
      <c r="M12" s="18">
        <f t="shared" si="4"/>
        <v>61</v>
      </c>
      <c r="N12" s="84">
        <f t="shared" si="5"/>
        <v>1.244</v>
      </c>
      <c r="O12" s="83">
        <v>35</v>
      </c>
      <c r="P12" s="83">
        <v>52</v>
      </c>
      <c r="Q12" s="18">
        <f t="shared" si="6"/>
        <v>17</v>
      </c>
      <c r="R12" s="84">
        <f t="shared" si="7"/>
        <v>1.4857142857142858</v>
      </c>
      <c r="S12" s="17">
        <f t="shared" si="12"/>
        <v>290</v>
      </c>
      <c r="T12" s="17">
        <f t="shared" si="13"/>
        <v>340</v>
      </c>
      <c r="U12" s="18">
        <f t="shared" si="14"/>
        <v>50</v>
      </c>
      <c r="V12" s="84">
        <f t="shared" si="15"/>
        <v>1.1724137931034482</v>
      </c>
      <c r="W12" s="18">
        <f t="shared" si="16"/>
        <v>39</v>
      </c>
      <c r="X12" s="18">
        <f t="shared" si="17"/>
        <v>58</v>
      </c>
      <c r="Y12" s="18">
        <f t="shared" si="8"/>
        <v>19</v>
      </c>
      <c r="Z12" s="84">
        <f t="shared" si="9"/>
        <v>1.4871794871794872</v>
      </c>
    </row>
    <row r="13" spans="1:26" ht="24.95" customHeight="1">
      <c r="A13" s="10">
        <v>7</v>
      </c>
      <c r="B13" s="24" t="s">
        <v>63</v>
      </c>
      <c r="C13" s="83">
        <v>164</v>
      </c>
      <c r="D13" s="83">
        <v>152</v>
      </c>
      <c r="E13" s="18">
        <f t="shared" si="10"/>
        <v>-12</v>
      </c>
      <c r="F13" s="84">
        <f t="shared" si="11"/>
        <v>0.92682926829268297</v>
      </c>
      <c r="G13" s="83">
        <v>17</v>
      </c>
      <c r="H13" s="83">
        <v>16</v>
      </c>
      <c r="I13" s="18">
        <f t="shared" si="2"/>
        <v>-1</v>
      </c>
      <c r="J13" s="84">
        <f t="shared" si="3"/>
        <v>0.94117647058823528</v>
      </c>
      <c r="K13" s="83">
        <v>0</v>
      </c>
      <c r="L13" s="83">
        <v>0</v>
      </c>
      <c r="M13" s="18" t="str">
        <f t="shared" si="4"/>
        <v/>
      </c>
      <c r="N13" s="84" t="str">
        <f t="shared" si="5"/>
        <v/>
      </c>
      <c r="O13" s="83">
        <v>0</v>
      </c>
      <c r="P13" s="83">
        <v>0</v>
      </c>
      <c r="Q13" s="18" t="str">
        <f t="shared" si="6"/>
        <v/>
      </c>
      <c r="R13" s="84" t="str">
        <f t="shared" si="7"/>
        <v/>
      </c>
      <c r="S13" s="17">
        <f t="shared" si="12"/>
        <v>164</v>
      </c>
      <c r="T13" s="17">
        <f t="shared" si="13"/>
        <v>152</v>
      </c>
      <c r="U13" s="18">
        <f t="shared" si="14"/>
        <v>-12</v>
      </c>
      <c r="V13" s="84">
        <f t="shared" si="15"/>
        <v>0.92682926829268297</v>
      </c>
      <c r="W13" s="18">
        <f t="shared" si="16"/>
        <v>17</v>
      </c>
      <c r="X13" s="18">
        <f t="shared" si="17"/>
        <v>16</v>
      </c>
      <c r="Y13" s="18">
        <f t="shared" si="8"/>
        <v>-1</v>
      </c>
      <c r="Z13" s="84">
        <f t="shared" si="9"/>
        <v>0.94117647058823528</v>
      </c>
    </row>
    <row r="14" spans="1:26" ht="24.95" customHeight="1">
      <c r="A14" s="10">
        <v>8</v>
      </c>
      <c r="B14" s="24" t="s">
        <v>64</v>
      </c>
      <c r="C14" s="83">
        <v>37</v>
      </c>
      <c r="D14" s="83">
        <v>24</v>
      </c>
      <c r="E14" s="18">
        <f t="shared" si="10"/>
        <v>-13</v>
      </c>
      <c r="F14" s="84">
        <f t="shared" si="11"/>
        <v>0.64864864864864868</v>
      </c>
      <c r="G14" s="83">
        <v>6</v>
      </c>
      <c r="H14" s="83">
        <v>7</v>
      </c>
      <c r="I14" s="18">
        <f t="shared" si="2"/>
        <v>1</v>
      </c>
      <c r="J14" s="84">
        <f t="shared" si="3"/>
        <v>1.1666666666666667</v>
      </c>
      <c r="K14" s="83">
        <v>322</v>
      </c>
      <c r="L14" s="83">
        <v>225</v>
      </c>
      <c r="M14" s="18">
        <f t="shared" si="4"/>
        <v>-97</v>
      </c>
      <c r="N14" s="84">
        <f t="shared" si="5"/>
        <v>0.69875776397515532</v>
      </c>
      <c r="O14" s="83">
        <v>75</v>
      </c>
      <c r="P14" s="83">
        <v>26</v>
      </c>
      <c r="Q14" s="18">
        <f t="shared" si="6"/>
        <v>-49</v>
      </c>
      <c r="R14" s="84">
        <f t="shared" si="7"/>
        <v>0.34666666666666668</v>
      </c>
      <c r="S14" s="17">
        <f t="shared" si="12"/>
        <v>359</v>
      </c>
      <c r="T14" s="17">
        <f t="shared" si="13"/>
        <v>249</v>
      </c>
      <c r="U14" s="18">
        <f t="shared" si="14"/>
        <v>-110</v>
      </c>
      <c r="V14" s="84">
        <f t="shared" si="15"/>
        <v>0.69359331476323116</v>
      </c>
      <c r="W14" s="18">
        <f t="shared" si="16"/>
        <v>81</v>
      </c>
      <c r="X14" s="18">
        <f t="shared" si="17"/>
        <v>33</v>
      </c>
      <c r="Y14" s="18">
        <f t="shared" si="8"/>
        <v>-48</v>
      </c>
      <c r="Z14" s="84">
        <f t="shared" si="9"/>
        <v>0.40740740740740738</v>
      </c>
    </row>
    <row r="15" spans="1:26" ht="24.95" customHeight="1">
      <c r="A15" s="10">
        <v>9</v>
      </c>
      <c r="B15" s="24" t="s">
        <v>65</v>
      </c>
      <c r="C15" s="83">
        <v>2</v>
      </c>
      <c r="D15" s="83">
        <v>2</v>
      </c>
      <c r="E15" s="18">
        <f t="shared" si="10"/>
        <v>0</v>
      </c>
      <c r="F15" s="84">
        <f t="shared" si="11"/>
        <v>1</v>
      </c>
      <c r="G15" s="83">
        <v>0</v>
      </c>
      <c r="H15" s="83">
        <v>0</v>
      </c>
      <c r="I15" s="18" t="str">
        <f t="shared" si="2"/>
        <v/>
      </c>
      <c r="J15" s="84" t="str">
        <f t="shared" si="3"/>
        <v/>
      </c>
      <c r="K15" s="83">
        <v>88</v>
      </c>
      <c r="L15" s="83">
        <v>106</v>
      </c>
      <c r="M15" s="18">
        <f t="shared" si="4"/>
        <v>18</v>
      </c>
      <c r="N15" s="84">
        <f t="shared" si="5"/>
        <v>1.2045454545454546</v>
      </c>
      <c r="O15" s="83">
        <v>13</v>
      </c>
      <c r="P15" s="83">
        <v>8</v>
      </c>
      <c r="Q15" s="18">
        <f t="shared" si="6"/>
        <v>-5</v>
      </c>
      <c r="R15" s="84">
        <f t="shared" si="7"/>
        <v>0.61538461538461542</v>
      </c>
      <c r="S15" s="17">
        <f t="shared" si="12"/>
        <v>90</v>
      </c>
      <c r="T15" s="17">
        <f t="shared" si="13"/>
        <v>108</v>
      </c>
      <c r="U15" s="18">
        <f t="shared" si="14"/>
        <v>18</v>
      </c>
      <c r="V15" s="84">
        <f t="shared" si="15"/>
        <v>1.2</v>
      </c>
      <c r="W15" s="18">
        <f t="shared" si="16"/>
        <v>13</v>
      </c>
      <c r="X15" s="18">
        <f t="shared" si="17"/>
        <v>8</v>
      </c>
      <c r="Y15" s="18">
        <f t="shared" si="8"/>
        <v>-5</v>
      </c>
      <c r="Z15" s="84">
        <f t="shared" si="9"/>
        <v>0.61538461538461542</v>
      </c>
    </row>
    <row r="16" spans="1:26" ht="24.95" customHeight="1">
      <c r="A16" s="10">
        <v>10</v>
      </c>
      <c r="B16" s="24" t="s">
        <v>66</v>
      </c>
      <c r="C16" s="83">
        <v>30</v>
      </c>
      <c r="D16" s="83">
        <v>34</v>
      </c>
      <c r="E16" s="18">
        <f t="shared" si="10"/>
        <v>4</v>
      </c>
      <c r="F16" s="84">
        <f t="shared" si="11"/>
        <v>1.1333333333333333</v>
      </c>
      <c r="G16" s="83">
        <v>3</v>
      </c>
      <c r="H16" s="83">
        <v>3</v>
      </c>
      <c r="I16" s="18">
        <f t="shared" si="2"/>
        <v>0</v>
      </c>
      <c r="J16" s="84">
        <f t="shared" si="3"/>
        <v>1</v>
      </c>
      <c r="K16" s="83">
        <v>71</v>
      </c>
      <c r="L16" s="83">
        <v>120</v>
      </c>
      <c r="M16" s="18">
        <f t="shared" si="4"/>
        <v>49</v>
      </c>
      <c r="N16" s="84">
        <f t="shared" si="5"/>
        <v>1.6901408450704225</v>
      </c>
      <c r="O16" s="83">
        <v>3</v>
      </c>
      <c r="P16" s="83">
        <v>14</v>
      </c>
      <c r="Q16" s="18">
        <f t="shared" si="6"/>
        <v>11</v>
      </c>
      <c r="R16" s="84">
        <f t="shared" si="7"/>
        <v>4.666666666666667</v>
      </c>
      <c r="S16" s="17">
        <f t="shared" si="12"/>
        <v>101</v>
      </c>
      <c r="T16" s="17">
        <f t="shared" si="13"/>
        <v>154</v>
      </c>
      <c r="U16" s="18">
        <f t="shared" si="14"/>
        <v>53</v>
      </c>
      <c r="V16" s="84">
        <f t="shared" si="15"/>
        <v>1.5247524752475248</v>
      </c>
      <c r="W16" s="18">
        <f t="shared" si="16"/>
        <v>6</v>
      </c>
      <c r="X16" s="18">
        <f t="shared" si="17"/>
        <v>17</v>
      </c>
      <c r="Y16" s="18">
        <f t="shared" si="8"/>
        <v>11</v>
      </c>
      <c r="Z16" s="84">
        <f t="shared" si="9"/>
        <v>2.8333333333333335</v>
      </c>
    </row>
    <row r="17" spans="1:26" ht="24.95" customHeight="1">
      <c r="A17" s="10">
        <v>11</v>
      </c>
      <c r="B17" s="24" t="s">
        <v>67</v>
      </c>
      <c r="C17" s="83">
        <v>19</v>
      </c>
      <c r="D17" s="83">
        <v>14</v>
      </c>
      <c r="E17" s="18">
        <f t="shared" si="10"/>
        <v>-5</v>
      </c>
      <c r="F17" s="84">
        <f t="shared" si="11"/>
        <v>0.73684210526315785</v>
      </c>
      <c r="G17" s="83">
        <v>2</v>
      </c>
      <c r="H17" s="83">
        <v>0</v>
      </c>
      <c r="I17" s="18">
        <f t="shared" si="2"/>
        <v>-2</v>
      </c>
      <c r="J17" s="84">
        <f t="shared" si="3"/>
        <v>0</v>
      </c>
      <c r="K17" s="83">
        <v>0</v>
      </c>
      <c r="L17" s="83">
        <v>0</v>
      </c>
      <c r="M17" s="18" t="str">
        <f t="shared" si="4"/>
        <v/>
      </c>
      <c r="N17" s="84" t="str">
        <f t="shared" si="5"/>
        <v/>
      </c>
      <c r="O17" s="83">
        <v>0</v>
      </c>
      <c r="P17" s="83">
        <v>0</v>
      </c>
      <c r="Q17" s="18" t="str">
        <f t="shared" si="6"/>
        <v/>
      </c>
      <c r="R17" s="84" t="str">
        <f t="shared" si="7"/>
        <v/>
      </c>
      <c r="S17" s="17">
        <f t="shared" si="12"/>
        <v>19</v>
      </c>
      <c r="T17" s="17">
        <f t="shared" si="13"/>
        <v>14</v>
      </c>
      <c r="U17" s="18">
        <f t="shared" si="14"/>
        <v>-5</v>
      </c>
      <c r="V17" s="84">
        <f t="shared" si="15"/>
        <v>0.73684210526315785</v>
      </c>
      <c r="W17" s="18">
        <f t="shared" si="16"/>
        <v>2</v>
      </c>
      <c r="X17" s="18">
        <f>IF(H17+P17=0,0,H17+P17)</f>
        <v>0</v>
      </c>
      <c r="Y17" s="18">
        <f t="shared" si="8"/>
        <v>-2</v>
      </c>
      <c r="Z17" s="84">
        <f t="shared" si="9"/>
        <v>0</v>
      </c>
    </row>
    <row r="18" spans="1:26" ht="24.95" customHeight="1">
      <c r="A18" s="10">
        <v>12</v>
      </c>
      <c r="B18" s="24" t="s">
        <v>68</v>
      </c>
      <c r="C18" s="83">
        <v>14</v>
      </c>
      <c r="D18" s="83">
        <v>9</v>
      </c>
      <c r="E18" s="18">
        <f t="shared" si="10"/>
        <v>-5</v>
      </c>
      <c r="F18" s="84">
        <f t="shared" si="11"/>
        <v>0.6428571428571429</v>
      </c>
      <c r="G18" s="83">
        <v>2</v>
      </c>
      <c r="H18" s="83">
        <v>0</v>
      </c>
      <c r="I18" s="18">
        <f t="shared" si="2"/>
        <v>-2</v>
      </c>
      <c r="J18" s="84">
        <f t="shared" si="3"/>
        <v>0</v>
      </c>
      <c r="K18" s="83">
        <v>73</v>
      </c>
      <c r="L18" s="83">
        <v>39</v>
      </c>
      <c r="M18" s="18">
        <f t="shared" si="4"/>
        <v>-34</v>
      </c>
      <c r="N18" s="84">
        <f t="shared" si="5"/>
        <v>0.53424657534246578</v>
      </c>
      <c r="O18" s="83">
        <v>9</v>
      </c>
      <c r="P18" s="83">
        <v>0</v>
      </c>
      <c r="Q18" s="18">
        <f t="shared" si="6"/>
        <v>-9</v>
      </c>
      <c r="R18" s="84">
        <f t="shared" si="7"/>
        <v>0</v>
      </c>
      <c r="S18" s="17">
        <f t="shared" si="12"/>
        <v>87</v>
      </c>
      <c r="T18" s="17">
        <f t="shared" si="13"/>
        <v>48</v>
      </c>
      <c r="U18" s="18">
        <f t="shared" si="14"/>
        <v>-39</v>
      </c>
      <c r="V18" s="84">
        <f t="shared" si="15"/>
        <v>0.55172413793103448</v>
      </c>
      <c r="W18" s="18">
        <f t="shared" si="16"/>
        <v>11</v>
      </c>
      <c r="X18" s="18">
        <f>IF(H18+P18=0,0,H18+P18)</f>
        <v>0</v>
      </c>
      <c r="Y18" s="18">
        <f t="shared" si="8"/>
        <v>-11</v>
      </c>
      <c r="Z18" s="84">
        <f t="shared" si="9"/>
        <v>0</v>
      </c>
    </row>
    <row r="19" spans="1:26" ht="24.95" customHeight="1">
      <c r="A19" s="10">
        <v>13</v>
      </c>
      <c r="B19" s="24" t="s">
        <v>69</v>
      </c>
      <c r="C19" s="83">
        <v>12</v>
      </c>
      <c r="D19" s="83">
        <v>11</v>
      </c>
      <c r="E19" s="18">
        <f t="shared" si="10"/>
        <v>-1</v>
      </c>
      <c r="F19" s="84">
        <f t="shared" si="11"/>
        <v>0.91666666666666663</v>
      </c>
      <c r="G19" s="83">
        <v>0</v>
      </c>
      <c r="H19" s="83">
        <v>1</v>
      </c>
      <c r="I19" s="18">
        <f t="shared" si="2"/>
        <v>1</v>
      </c>
      <c r="J19" s="84">
        <f t="shared" si="3"/>
        <v>1</v>
      </c>
      <c r="K19" s="83">
        <v>5</v>
      </c>
      <c r="L19" s="83">
        <v>0</v>
      </c>
      <c r="M19" s="18">
        <f t="shared" si="4"/>
        <v>-5</v>
      </c>
      <c r="N19" s="84">
        <f t="shared" si="5"/>
        <v>0</v>
      </c>
      <c r="O19" s="83">
        <v>2</v>
      </c>
      <c r="P19" s="83">
        <v>0</v>
      </c>
      <c r="Q19" s="18">
        <f t="shared" si="6"/>
        <v>-2</v>
      </c>
      <c r="R19" s="84">
        <f t="shared" si="7"/>
        <v>0</v>
      </c>
      <c r="S19" s="17">
        <f t="shared" si="12"/>
        <v>17</v>
      </c>
      <c r="T19" s="17">
        <f t="shared" si="13"/>
        <v>11</v>
      </c>
      <c r="U19" s="18">
        <f t="shared" si="14"/>
        <v>-6</v>
      </c>
      <c r="V19" s="84">
        <f t="shared" si="15"/>
        <v>0.6470588235294118</v>
      </c>
      <c r="W19" s="18">
        <f t="shared" si="16"/>
        <v>2</v>
      </c>
      <c r="X19" s="18">
        <f t="shared" si="17"/>
        <v>1</v>
      </c>
      <c r="Y19" s="18">
        <f t="shared" si="8"/>
        <v>-1</v>
      </c>
      <c r="Z19" s="84">
        <f t="shared" si="9"/>
        <v>0.5</v>
      </c>
    </row>
  </sheetData>
  <sheetProtection algorithmName="SHA-512" hashValue="wVpbG3Jf07ixXAvk9gbR9JQhVwXygit4K8dWxKFAh2sXcWPi4+NrwhPM1J9fyDsBKsxdXV+fZyg7B4XFavFYYQ==" saltValue="HzoaZK4QvBT3fy/x/TZtZg==" spinCount="100000" sheet="1" objects="1" scenarios="1"/>
  <mergeCells count="12">
    <mergeCell ref="Q4:R4"/>
    <mergeCell ref="S4:T4"/>
    <mergeCell ref="U4:V4"/>
    <mergeCell ref="Y4:Z4"/>
    <mergeCell ref="A1:X3"/>
    <mergeCell ref="Y2:Z3"/>
    <mergeCell ref="Y1:Z1"/>
    <mergeCell ref="C4:D4"/>
    <mergeCell ref="E4:F4"/>
    <mergeCell ref="I4:J4"/>
    <mergeCell ref="K4:L4"/>
    <mergeCell ref="M4:N4"/>
  </mergeCells>
  <pageMargins left="0.25" right="0.25" top="0.75" bottom="0.75" header="0.3" footer="0.3"/>
  <pageSetup paperSize="9" scale="5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1DE0D-F3CA-4C6F-858B-B20F777FCF3A}">
  <sheetPr>
    <pageSetUpPr fitToPage="1"/>
  </sheetPr>
  <dimension ref="A1:O35"/>
  <sheetViews>
    <sheetView zoomScale="85" zoomScaleNormal="85" workbookViewId="0">
      <selection sqref="A1:I3"/>
    </sheetView>
  </sheetViews>
  <sheetFormatPr defaultRowHeight="15"/>
  <cols>
    <col min="1" max="1" width="3.7109375" style="74" customWidth="1"/>
    <col min="2" max="2" width="103.42578125" style="74" customWidth="1"/>
    <col min="3" max="10" width="15.7109375" customWidth="1"/>
  </cols>
  <sheetData>
    <row r="1" spans="1:15">
      <c r="A1" s="140" t="s">
        <v>291</v>
      </c>
      <c r="B1" s="140"/>
      <c r="C1" s="140"/>
      <c r="D1" s="140"/>
      <c r="E1" s="140"/>
      <c r="F1" s="140"/>
      <c r="G1" s="140"/>
      <c r="H1" s="140"/>
      <c r="I1" s="140"/>
      <c r="J1" s="68" t="s">
        <v>14</v>
      </c>
      <c r="K1" s="6"/>
      <c r="L1" s="6"/>
      <c r="M1" s="6"/>
      <c r="N1" s="6"/>
      <c r="O1" s="6"/>
    </row>
    <row r="2" spans="1:15">
      <c r="A2" s="140"/>
      <c r="B2" s="140"/>
      <c r="C2" s="140"/>
      <c r="D2" s="140"/>
      <c r="E2" s="140"/>
      <c r="F2" s="140"/>
      <c r="G2" s="140"/>
      <c r="H2" s="140"/>
      <c r="I2" s="140"/>
      <c r="J2" s="149" t="s">
        <v>301</v>
      </c>
      <c r="K2" s="6"/>
      <c r="L2" s="6"/>
      <c r="M2" s="6"/>
      <c r="N2" s="6"/>
      <c r="O2" s="6"/>
    </row>
    <row r="3" spans="1:15">
      <c r="A3" s="139"/>
      <c r="B3" s="139"/>
      <c r="C3" s="139"/>
      <c r="D3" s="139"/>
      <c r="E3" s="139"/>
      <c r="F3" s="139"/>
      <c r="G3" s="139"/>
      <c r="H3" s="139"/>
      <c r="I3" s="139"/>
      <c r="J3" s="142"/>
    </row>
    <row r="4" spans="1:15" ht="66" customHeight="1">
      <c r="A4" s="70"/>
      <c r="B4" s="67" t="s">
        <v>70</v>
      </c>
      <c r="C4" s="49" t="str">
        <f>"Факт " &amp; J2 &amp; " 2023 г"</f>
        <v>Факт Сентябрь 2023 г</v>
      </c>
      <c r="D4" s="49" t="str">
        <f xml:space="preserve"> "Факт " &amp; J2 &amp; " 2024 г"</f>
        <v>Факт Сентябрь 2024 г</v>
      </c>
      <c r="E4" s="147" t="s">
        <v>252</v>
      </c>
      <c r="F4" s="148"/>
      <c r="G4" s="49" t="str">
        <f xml:space="preserve"> "Факт Январь -" &amp; J2 &amp; " 2023 г"</f>
        <v>Факт Январь -Сентябрь 2023 г</v>
      </c>
      <c r="H4" s="49" t="str">
        <f xml:space="preserve"> "Факт Январь -" &amp; J2 &amp; " 2024 г"</f>
        <v>Факт Январь -Сентябрь 2024 г</v>
      </c>
      <c r="I4" s="147" t="s">
        <v>252</v>
      </c>
      <c r="J4" s="148"/>
    </row>
    <row r="5" spans="1:15" ht="15" customHeight="1">
      <c r="A5" s="80"/>
      <c r="B5" s="80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70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ht="24.95" customHeight="1">
      <c r="A7" s="70">
        <v>1</v>
      </c>
      <c r="B7" s="29" t="s">
        <v>71</v>
      </c>
      <c r="C7" s="119">
        <v>27</v>
      </c>
      <c r="D7" s="119">
        <v>34</v>
      </c>
      <c r="E7" s="18">
        <f t="shared" ref="E7" si="0">IF(AND(C7=0,D7=0),"",IFERROR(IF(OR(D7=0,D7=""),-C7,D7-C7),""))</f>
        <v>7</v>
      </c>
      <c r="F7" s="84">
        <f t="shared" ref="F7" si="1">IF(AND(D7=0,C7=0),"",IFERROR(IF(C7=0, D7, D7/C7),""))</f>
        <v>1.2592592592592593</v>
      </c>
      <c r="G7" s="119">
        <v>194</v>
      </c>
      <c r="H7" s="119">
        <v>249</v>
      </c>
      <c r="I7" s="18">
        <f t="shared" ref="I7" si="2">IF(AND(G7=0,H7=0),"",IFERROR(IF(OR(H7=0,H7=""),-G7,H7-G7),""))</f>
        <v>55</v>
      </c>
      <c r="J7" s="84">
        <f t="shared" ref="J7" si="3">IF(AND(H7=0,G7=0),"",IFERROR(IF(G7=0, H7, H7/G7),""))</f>
        <v>1.2835051546391754</v>
      </c>
    </row>
    <row r="8" spans="1:15" ht="24.95" customHeight="1">
      <c r="A8" s="70">
        <v>2</v>
      </c>
      <c r="B8" s="29" t="s">
        <v>72</v>
      </c>
      <c r="C8" s="83"/>
      <c r="D8" s="83"/>
      <c r="E8" s="18" t="str">
        <f t="shared" ref="E8" si="4">IF(AND(C8=0,D8=0),"",IFERROR(IF(OR(D8=0,D8=""),-C8,D8-C8),""))</f>
        <v/>
      </c>
      <c r="F8" s="84" t="str">
        <f t="shared" ref="F8" si="5">IF(AND(D8=0,C8=0),"",IFERROR(IF(C8=0, D8, D8/C8),""))</f>
        <v/>
      </c>
      <c r="G8" s="83"/>
      <c r="H8" s="83"/>
      <c r="I8" s="18" t="str">
        <f t="shared" ref="I8:I35" si="6">IF(AND(G8=0,H8=0),"",IFERROR(IF(OR(H8=0,H8=""),-G8,H8-G8),""))</f>
        <v/>
      </c>
      <c r="J8" s="84" t="str">
        <f t="shared" ref="J8:J35" si="7">IF(AND(H8=0,G8=0),"",IFERROR(IF(G8=0, H8, H8/G8),""))</f>
        <v/>
      </c>
    </row>
    <row r="9" spans="1:15" ht="24.95" customHeight="1">
      <c r="A9" s="70">
        <v>3</v>
      </c>
      <c r="B9" s="15" t="s">
        <v>73</v>
      </c>
      <c r="C9" s="83">
        <v>10</v>
      </c>
      <c r="D9" s="83">
        <v>20</v>
      </c>
      <c r="E9" s="18">
        <f t="shared" ref="E9" si="8">IF(AND(C9=0,D9=0),"",IFERROR(IF(OR(D9=0,D9=""),-C9,D9-C9),""))</f>
        <v>10</v>
      </c>
      <c r="F9" s="84">
        <f t="shared" ref="F9" si="9">IF(AND(D9=0,C9=0),"",IFERROR(IF(C9=0, D9, D9/C9),""))</f>
        <v>2</v>
      </c>
      <c r="G9" s="83">
        <v>90</v>
      </c>
      <c r="H9" s="83">
        <v>93</v>
      </c>
      <c r="I9" s="18">
        <f t="shared" si="6"/>
        <v>3</v>
      </c>
      <c r="J9" s="84">
        <f t="shared" si="7"/>
        <v>1.0333333333333334</v>
      </c>
    </row>
    <row r="10" spans="1:15" ht="24.95" customHeight="1">
      <c r="A10" s="70">
        <v>4</v>
      </c>
      <c r="B10" s="15" t="s">
        <v>74</v>
      </c>
      <c r="C10" s="83">
        <v>6</v>
      </c>
      <c r="D10" s="83">
        <v>3</v>
      </c>
      <c r="E10" s="18">
        <f t="shared" ref="E10:E18" si="10">IF(AND(C10=0,D10=0),"",IFERROR(IF(OR(D10=0,D10=""),-C10,D10-C10),""))</f>
        <v>-3</v>
      </c>
      <c r="F10" s="84">
        <f t="shared" ref="F10:F18" si="11">IF(AND(D10=0,C10=0),"",IFERROR(IF(C10=0, D10, D10/C10),""))</f>
        <v>0.5</v>
      </c>
      <c r="G10" s="83">
        <v>42</v>
      </c>
      <c r="H10" s="83">
        <v>64</v>
      </c>
      <c r="I10" s="18">
        <f t="shared" si="6"/>
        <v>22</v>
      </c>
      <c r="J10" s="84">
        <f t="shared" si="7"/>
        <v>1.5238095238095237</v>
      </c>
    </row>
    <row r="11" spans="1:15" ht="24.95" customHeight="1">
      <c r="A11" s="70">
        <v>5</v>
      </c>
      <c r="B11" s="15" t="s">
        <v>75</v>
      </c>
      <c r="C11" s="83">
        <v>2</v>
      </c>
      <c r="D11" s="83">
        <v>5</v>
      </c>
      <c r="E11" s="18">
        <f t="shared" si="10"/>
        <v>3</v>
      </c>
      <c r="F11" s="84">
        <f t="shared" si="11"/>
        <v>2.5</v>
      </c>
      <c r="G11" s="83">
        <v>20</v>
      </c>
      <c r="H11" s="83">
        <v>34</v>
      </c>
      <c r="I11" s="18">
        <f t="shared" si="6"/>
        <v>14</v>
      </c>
      <c r="J11" s="84">
        <f t="shared" si="7"/>
        <v>1.7</v>
      </c>
    </row>
    <row r="12" spans="1:15" ht="24.95" customHeight="1">
      <c r="A12" s="70">
        <v>6</v>
      </c>
      <c r="B12" s="15" t="s">
        <v>18</v>
      </c>
      <c r="C12" s="83">
        <v>6</v>
      </c>
      <c r="D12" s="83">
        <v>5</v>
      </c>
      <c r="E12" s="18">
        <f t="shared" si="10"/>
        <v>-1</v>
      </c>
      <c r="F12" s="84">
        <f t="shared" si="11"/>
        <v>0.83333333333333337</v>
      </c>
      <c r="G12" s="83">
        <v>33</v>
      </c>
      <c r="H12" s="83">
        <v>41</v>
      </c>
      <c r="I12" s="18">
        <f t="shared" si="6"/>
        <v>8</v>
      </c>
      <c r="J12" s="84">
        <f t="shared" si="7"/>
        <v>1.2424242424242424</v>
      </c>
    </row>
    <row r="13" spans="1:15" ht="24.95" customHeight="1">
      <c r="A13" s="70">
        <v>7</v>
      </c>
      <c r="B13" s="15" t="s">
        <v>76</v>
      </c>
      <c r="C13" s="83">
        <v>3</v>
      </c>
      <c r="D13" s="83">
        <v>1</v>
      </c>
      <c r="E13" s="18">
        <f t="shared" si="10"/>
        <v>-2</v>
      </c>
      <c r="F13" s="84">
        <f t="shared" si="11"/>
        <v>0.33333333333333331</v>
      </c>
      <c r="G13" s="83">
        <v>9</v>
      </c>
      <c r="H13" s="83">
        <v>17</v>
      </c>
      <c r="I13" s="18">
        <f t="shared" si="6"/>
        <v>8</v>
      </c>
      <c r="J13" s="84">
        <f t="shared" si="7"/>
        <v>1.8888888888888888</v>
      </c>
    </row>
    <row r="14" spans="1:15" ht="24.95" customHeight="1">
      <c r="A14" s="70">
        <v>8</v>
      </c>
      <c r="B14" s="29" t="s">
        <v>147</v>
      </c>
      <c r="C14" s="119">
        <v>4</v>
      </c>
      <c r="D14" s="119">
        <v>3</v>
      </c>
      <c r="E14" s="18">
        <f t="shared" si="10"/>
        <v>-1</v>
      </c>
      <c r="F14" s="84">
        <f t="shared" si="11"/>
        <v>0.75</v>
      </c>
      <c r="G14" s="119">
        <v>3</v>
      </c>
      <c r="H14" s="119">
        <v>15</v>
      </c>
      <c r="I14" s="18">
        <f t="shared" si="6"/>
        <v>12</v>
      </c>
      <c r="J14" s="84">
        <f t="shared" si="7"/>
        <v>5</v>
      </c>
    </row>
    <row r="15" spans="1:15" ht="24.95" customHeight="1">
      <c r="A15" s="70">
        <v>9</v>
      </c>
      <c r="B15" s="15" t="s">
        <v>78</v>
      </c>
      <c r="C15" s="83">
        <v>1</v>
      </c>
      <c r="D15" s="83">
        <v>2</v>
      </c>
      <c r="E15" s="18">
        <f t="shared" si="10"/>
        <v>1</v>
      </c>
      <c r="F15" s="84">
        <f t="shared" si="11"/>
        <v>2</v>
      </c>
      <c r="G15" s="83">
        <v>11</v>
      </c>
      <c r="H15" s="83">
        <v>3</v>
      </c>
      <c r="I15" s="18">
        <f t="shared" si="6"/>
        <v>-8</v>
      </c>
      <c r="J15" s="84">
        <f t="shared" si="7"/>
        <v>0.27272727272727271</v>
      </c>
    </row>
    <row r="16" spans="1:15" ht="24.95" customHeight="1">
      <c r="A16" s="70">
        <v>10</v>
      </c>
      <c r="B16" s="15" t="s">
        <v>79</v>
      </c>
      <c r="C16" s="83">
        <v>3</v>
      </c>
      <c r="D16" s="83">
        <v>1</v>
      </c>
      <c r="E16" s="18">
        <f t="shared" si="10"/>
        <v>-2</v>
      </c>
      <c r="F16" s="84">
        <f t="shared" si="11"/>
        <v>0.33333333333333331</v>
      </c>
      <c r="G16" s="83">
        <v>2</v>
      </c>
      <c r="H16" s="83">
        <v>4</v>
      </c>
      <c r="I16" s="18">
        <f t="shared" si="6"/>
        <v>2</v>
      </c>
      <c r="J16" s="84">
        <f t="shared" si="7"/>
        <v>2</v>
      </c>
    </row>
    <row r="17" spans="1:10" ht="24.95" customHeight="1">
      <c r="A17" s="70">
        <v>11</v>
      </c>
      <c r="B17" s="29" t="s">
        <v>292</v>
      </c>
      <c r="C17" s="119">
        <v>27</v>
      </c>
      <c r="D17" s="119">
        <v>34</v>
      </c>
      <c r="E17" s="18">
        <f t="shared" si="10"/>
        <v>7</v>
      </c>
      <c r="F17" s="84">
        <f t="shared" si="11"/>
        <v>1.2592592592592593</v>
      </c>
      <c r="G17" s="119">
        <v>194</v>
      </c>
      <c r="H17" s="119">
        <v>249</v>
      </c>
      <c r="I17" s="18">
        <f t="shared" si="6"/>
        <v>55</v>
      </c>
      <c r="J17" s="84">
        <f t="shared" si="7"/>
        <v>1.2835051546391754</v>
      </c>
    </row>
    <row r="18" spans="1:10" ht="24.95" customHeight="1">
      <c r="A18" s="70">
        <v>12</v>
      </c>
      <c r="B18" s="15" t="s">
        <v>80</v>
      </c>
      <c r="C18" s="83"/>
      <c r="D18" s="83"/>
      <c r="E18" s="18" t="str">
        <f t="shared" si="10"/>
        <v/>
      </c>
      <c r="F18" s="84" t="str">
        <f t="shared" si="11"/>
        <v/>
      </c>
      <c r="G18" s="83"/>
      <c r="H18" s="83"/>
      <c r="I18" s="18" t="str">
        <f t="shared" si="6"/>
        <v/>
      </c>
      <c r="J18" s="84" t="str">
        <f t="shared" si="7"/>
        <v/>
      </c>
    </row>
    <row r="19" spans="1:10" ht="24.95" customHeight="1">
      <c r="A19" s="70">
        <v>13</v>
      </c>
      <c r="B19" s="15" t="s">
        <v>81</v>
      </c>
      <c r="C19" s="83">
        <v>17</v>
      </c>
      <c r="D19" s="83">
        <v>19</v>
      </c>
      <c r="E19" s="18">
        <f t="shared" ref="E19:E32" si="12">IF(AND(C19=0,D19=0),"",IFERROR(IF(OR(D19=0,D19=""),-C19,D19-C19),""))</f>
        <v>2</v>
      </c>
      <c r="F19" s="84">
        <f t="shared" ref="F19:F32" si="13">IF(AND(D19=0,C19=0),"",IFERROR(IF(C19=0, D19, D19/C19),""))</f>
        <v>1.1176470588235294</v>
      </c>
      <c r="G19" s="83">
        <v>160</v>
      </c>
      <c r="H19" s="83">
        <v>207</v>
      </c>
      <c r="I19" s="18">
        <f t="shared" si="6"/>
        <v>47</v>
      </c>
      <c r="J19" s="84">
        <f t="shared" si="7"/>
        <v>1.29375</v>
      </c>
    </row>
    <row r="20" spans="1:10" ht="24.95" customHeight="1">
      <c r="A20" s="70">
        <v>14</v>
      </c>
      <c r="B20" s="15" t="s">
        <v>82</v>
      </c>
      <c r="C20" s="83">
        <v>10</v>
      </c>
      <c r="D20" s="83">
        <v>15</v>
      </c>
      <c r="E20" s="18">
        <f t="shared" si="12"/>
        <v>5</v>
      </c>
      <c r="F20" s="84">
        <f t="shared" si="13"/>
        <v>1.5</v>
      </c>
      <c r="G20" s="83">
        <v>34</v>
      </c>
      <c r="H20" s="83">
        <v>42</v>
      </c>
      <c r="I20" s="18">
        <f t="shared" si="6"/>
        <v>8</v>
      </c>
      <c r="J20" s="84">
        <f t="shared" si="7"/>
        <v>1.2352941176470589</v>
      </c>
    </row>
    <row r="21" spans="1:10" ht="24.95" customHeight="1">
      <c r="A21" s="70">
        <v>15</v>
      </c>
      <c r="B21" s="29" t="s">
        <v>83</v>
      </c>
      <c r="C21" s="82">
        <v>0</v>
      </c>
      <c r="D21" s="83">
        <v>5</v>
      </c>
      <c r="E21" s="18">
        <f t="shared" si="12"/>
        <v>5</v>
      </c>
      <c r="F21" s="84">
        <f t="shared" si="13"/>
        <v>5</v>
      </c>
      <c r="G21" s="83">
        <v>0</v>
      </c>
      <c r="H21" s="83">
        <v>38</v>
      </c>
      <c r="I21" s="18">
        <f t="shared" si="6"/>
        <v>38</v>
      </c>
      <c r="J21" s="84">
        <f t="shared" si="7"/>
        <v>38</v>
      </c>
    </row>
    <row r="22" spans="1:10" ht="24.95" customHeight="1">
      <c r="A22" s="70">
        <v>16</v>
      </c>
      <c r="B22" s="29" t="s">
        <v>148</v>
      </c>
      <c r="C22" s="120">
        <v>18</v>
      </c>
      <c r="D22" s="119">
        <v>7</v>
      </c>
      <c r="E22" s="18">
        <f t="shared" si="12"/>
        <v>-11</v>
      </c>
      <c r="F22" s="84">
        <f t="shared" si="13"/>
        <v>0.3888888888888889</v>
      </c>
      <c r="G22" s="119">
        <v>70</v>
      </c>
      <c r="H22" s="119">
        <v>59</v>
      </c>
      <c r="I22" s="18">
        <f t="shared" si="6"/>
        <v>-11</v>
      </c>
      <c r="J22" s="84">
        <f t="shared" si="7"/>
        <v>0.84285714285714286</v>
      </c>
    </row>
    <row r="23" spans="1:10" ht="24.95" customHeight="1">
      <c r="A23" s="70">
        <v>17</v>
      </c>
      <c r="B23" s="29" t="s">
        <v>72</v>
      </c>
      <c r="C23" s="82"/>
      <c r="D23" s="83"/>
      <c r="E23" s="18" t="str">
        <f t="shared" si="12"/>
        <v/>
      </c>
      <c r="F23" s="84" t="str">
        <f t="shared" si="13"/>
        <v/>
      </c>
      <c r="G23" s="83"/>
      <c r="H23" s="83"/>
      <c r="I23" s="18" t="str">
        <f t="shared" si="6"/>
        <v/>
      </c>
      <c r="J23" s="84" t="str">
        <f t="shared" si="7"/>
        <v/>
      </c>
    </row>
    <row r="24" spans="1:10" ht="24.95" customHeight="1">
      <c r="A24" s="70">
        <v>18</v>
      </c>
      <c r="B24" s="15" t="s">
        <v>73</v>
      </c>
      <c r="C24" s="82">
        <v>13</v>
      </c>
      <c r="D24" s="83">
        <v>3</v>
      </c>
      <c r="E24" s="18">
        <f t="shared" si="12"/>
        <v>-10</v>
      </c>
      <c r="F24" s="84">
        <f t="shared" si="13"/>
        <v>0.23076923076923078</v>
      </c>
      <c r="G24" s="83">
        <v>53</v>
      </c>
      <c r="H24" s="83">
        <v>37</v>
      </c>
      <c r="I24" s="18">
        <f t="shared" si="6"/>
        <v>-16</v>
      </c>
      <c r="J24" s="84">
        <f t="shared" si="7"/>
        <v>0.69811320754716977</v>
      </c>
    </row>
    <row r="25" spans="1:10" ht="24.95" customHeight="1">
      <c r="A25" s="70">
        <v>19</v>
      </c>
      <c r="B25" s="15" t="s">
        <v>75</v>
      </c>
      <c r="C25" s="82">
        <v>3</v>
      </c>
      <c r="D25" s="83">
        <v>2</v>
      </c>
      <c r="E25" s="18">
        <f t="shared" si="12"/>
        <v>-1</v>
      </c>
      <c r="F25" s="84">
        <f t="shared" si="13"/>
        <v>0.66666666666666663</v>
      </c>
      <c r="G25" s="83">
        <v>10</v>
      </c>
      <c r="H25" s="83">
        <v>15</v>
      </c>
      <c r="I25" s="18">
        <f t="shared" si="6"/>
        <v>5</v>
      </c>
      <c r="J25" s="84">
        <f t="shared" si="7"/>
        <v>1.5</v>
      </c>
    </row>
    <row r="26" spans="1:10" ht="24.95" customHeight="1">
      <c r="A26" s="70">
        <v>20</v>
      </c>
      <c r="B26" s="15" t="s">
        <v>18</v>
      </c>
      <c r="C26" s="82">
        <v>2</v>
      </c>
      <c r="D26" s="83">
        <v>2</v>
      </c>
      <c r="E26" s="18">
        <f t="shared" si="12"/>
        <v>0</v>
      </c>
      <c r="F26" s="84">
        <f t="shared" si="13"/>
        <v>1</v>
      </c>
      <c r="G26" s="83">
        <v>7</v>
      </c>
      <c r="H26" s="83">
        <v>7</v>
      </c>
      <c r="I26" s="18">
        <f t="shared" si="6"/>
        <v>0</v>
      </c>
      <c r="J26" s="84">
        <f t="shared" si="7"/>
        <v>1</v>
      </c>
    </row>
    <row r="27" spans="1:10" ht="24.95" customHeight="1">
      <c r="A27" s="70">
        <v>21</v>
      </c>
      <c r="B27" s="15" t="s">
        <v>76</v>
      </c>
      <c r="C27" s="82"/>
      <c r="D27" s="83"/>
      <c r="E27" s="18" t="str">
        <f t="shared" si="12"/>
        <v/>
      </c>
      <c r="F27" s="84" t="str">
        <f t="shared" si="13"/>
        <v/>
      </c>
      <c r="G27" s="83"/>
      <c r="H27" s="83"/>
      <c r="I27" s="18" t="str">
        <f t="shared" si="6"/>
        <v/>
      </c>
      <c r="J27" s="84" t="str">
        <f t="shared" si="7"/>
        <v/>
      </c>
    </row>
    <row r="28" spans="1:10" ht="24.95" customHeight="1">
      <c r="A28" s="70">
        <v>22</v>
      </c>
      <c r="B28" s="13" t="s">
        <v>147</v>
      </c>
      <c r="C28" s="120">
        <v>1</v>
      </c>
      <c r="D28" s="119">
        <v>2</v>
      </c>
      <c r="E28" s="18">
        <f t="shared" si="12"/>
        <v>1</v>
      </c>
      <c r="F28" s="84">
        <f t="shared" si="13"/>
        <v>2</v>
      </c>
      <c r="G28" s="119">
        <v>4</v>
      </c>
      <c r="H28" s="119">
        <v>5</v>
      </c>
      <c r="I28" s="18">
        <f t="shared" si="6"/>
        <v>1</v>
      </c>
      <c r="J28" s="84">
        <f t="shared" si="7"/>
        <v>1.25</v>
      </c>
    </row>
    <row r="29" spans="1:10" ht="24.95" customHeight="1">
      <c r="A29" s="70">
        <v>23</v>
      </c>
      <c r="B29" s="15" t="s">
        <v>78</v>
      </c>
      <c r="C29" s="82">
        <v>0</v>
      </c>
      <c r="D29" s="83">
        <v>1</v>
      </c>
      <c r="E29" s="18">
        <f t="shared" si="12"/>
        <v>1</v>
      </c>
      <c r="F29" s="84">
        <f t="shared" si="13"/>
        <v>1</v>
      </c>
      <c r="G29" s="83">
        <v>2</v>
      </c>
      <c r="H29" s="83">
        <v>2</v>
      </c>
      <c r="I29" s="18">
        <f t="shared" si="6"/>
        <v>0</v>
      </c>
      <c r="J29" s="84">
        <f t="shared" si="7"/>
        <v>1</v>
      </c>
    </row>
    <row r="30" spans="1:10" ht="24.95" customHeight="1">
      <c r="A30" s="70">
        <v>24</v>
      </c>
      <c r="B30" s="15" t="s">
        <v>79</v>
      </c>
      <c r="C30" s="82">
        <v>1</v>
      </c>
      <c r="D30" s="83">
        <v>1</v>
      </c>
      <c r="E30" s="18">
        <f t="shared" si="12"/>
        <v>0</v>
      </c>
      <c r="F30" s="84">
        <f t="shared" si="13"/>
        <v>1</v>
      </c>
      <c r="G30" s="83">
        <v>2</v>
      </c>
      <c r="H30" s="83">
        <v>3</v>
      </c>
      <c r="I30" s="18">
        <f t="shared" si="6"/>
        <v>1</v>
      </c>
      <c r="J30" s="84">
        <f t="shared" si="7"/>
        <v>1.5</v>
      </c>
    </row>
    <row r="31" spans="1:10" ht="24.95" customHeight="1">
      <c r="A31" s="70">
        <v>25</v>
      </c>
      <c r="B31" s="11" t="s">
        <v>83</v>
      </c>
      <c r="C31" s="120">
        <v>0</v>
      </c>
      <c r="D31" s="119">
        <v>5</v>
      </c>
      <c r="E31" s="18">
        <f t="shared" si="12"/>
        <v>5</v>
      </c>
      <c r="F31" s="84">
        <f t="shared" si="13"/>
        <v>5</v>
      </c>
      <c r="G31" s="119">
        <v>0</v>
      </c>
      <c r="H31" s="119">
        <v>13</v>
      </c>
      <c r="I31" s="18">
        <f t="shared" si="6"/>
        <v>13</v>
      </c>
      <c r="J31" s="84">
        <f t="shared" si="7"/>
        <v>13</v>
      </c>
    </row>
    <row r="32" spans="1:10" ht="24.95" customHeight="1">
      <c r="A32" s="70">
        <v>26</v>
      </c>
      <c r="B32" s="29" t="s">
        <v>149</v>
      </c>
      <c r="C32" s="120">
        <v>0</v>
      </c>
      <c r="D32" s="119">
        <v>2</v>
      </c>
      <c r="E32" s="18">
        <f t="shared" si="12"/>
        <v>2</v>
      </c>
      <c r="F32" s="84">
        <f t="shared" si="13"/>
        <v>2</v>
      </c>
      <c r="G32" s="119">
        <v>0</v>
      </c>
      <c r="H32" s="119">
        <v>14</v>
      </c>
      <c r="I32" s="18">
        <f t="shared" si="6"/>
        <v>14</v>
      </c>
      <c r="J32" s="84">
        <f t="shared" si="7"/>
        <v>14</v>
      </c>
    </row>
    <row r="33" spans="1:10" ht="24.95" customHeight="1">
      <c r="A33" s="70">
        <v>27</v>
      </c>
      <c r="B33" s="29" t="s">
        <v>150</v>
      </c>
      <c r="C33" s="82">
        <v>0</v>
      </c>
      <c r="D33" s="83">
        <v>1</v>
      </c>
      <c r="E33" s="18">
        <f t="shared" ref="E33:E35" si="14">IF(AND(C33=0,D33=0),"",IFERROR(IF(OR(D33=0,D33=""),-C33,D33-C33),""))</f>
        <v>1</v>
      </c>
      <c r="F33" s="84">
        <f t="shared" ref="F33:F35" si="15">IF(AND(D33=0,C33=0),"",IFERROR(IF(C33=0, D33, D33/C33),""))</f>
        <v>1</v>
      </c>
      <c r="G33" s="83">
        <v>0</v>
      </c>
      <c r="H33" s="83">
        <v>6</v>
      </c>
      <c r="I33" s="18">
        <f t="shared" si="6"/>
        <v>6</v>
      </c>
      <c r="J33" s="84">
        <f t="shared" si="7"/>
        <v>6</v>
      </c>
    </row>
    <row r="34" spans="1:10" ht="24.95" customHeight="1">
      <c r="A34" s="70">
        <v>28</v>
      </c>
      <c r="B34" s="29" t="s">
        <v>151</v>
      </c>
      <c r="C34" s="82">
        <v>0</v>
      </c>
      <c r="D34" s="83">
        <v>1</v>
      </c>
      <c r="E34" s="18">
        <f t="shared" si="14"/>
        <v>1</v>
      </c>
      <c r="F34" s="84">
        <f t="shared" si="15"/>
        <v>1</v>
      </c>
      <c r="G34" s="83">
        <v>0</v>
      </c>
      <c r="H34" s="83">
        <v>8</v>
      </c>
      <c r="I34" s="18">
        <f t="shared" si="6"/>
        <v>8</v>
      </c>
      <c r="J34" s="84">
        <f t="shared" si="7"/>
        <v>8</v>
      </c>
    </row>
    <row r="35" spans="1:10" ht="24.95" customHeight="1">
      <c r="A35" s="70">
        <v>29</v>
      </c>
      <c r="B35" s="29" t="s">
        <v>83</v>
      </c>
      <c r="C35" s="82">
        <v>0</v>
      </c>
      <c r="D35" s="83">
        <v>5</v>
      </c>
      <c r="E35" s="18">
        <f t="shared" si="14"/>
        <v>5</v>
      </c>
      <c r="F35" s="84">
        <f t="shared" si="15"/>
        <v>5</v>
      </c>
      <c r="G35" s="83">
        <v>0</v>
      </c>
      <c r="H35" s="83">
        <v>7</v>
      </c>
      <c r="I35" s="18">
        <f t="shared" si="6"/>
        <v>7</v>
      </c>
      <c r="J35" s="84">
        <f t="shared" si="7"/>
        <v>7</v>
      </c>
    </row>
  </sheetData>
  <sheetProtection algorithmName="SHA-512" hashValue="a3/Gwf9ae9Hh8nqBd3jSZidm5fOz71DopVDsZRa/dBsA1rxliy7xMPbLFqzIqh6xp1tNFz04jFF89vNtj5ULSw==" saltValue="KEzy2QsN3XIAgmu0PeBXxA==" spinCount="100000" sheet="1" objects="1" scenarios="1"/>
  <mergeCells count="4">
    <mergeCell ref="E4:F4"/>
    <mergeCell ref="I4:J4"/>
    <mergeCell ref="A1:I3"/>
    <mergeCell ref="J2:J3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5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FB031-CF74-4231-8683-B12DF0F7DD9D}">
  <sheetPr>
    <pageSetUpPr fitToPage="1"/>
  </sheetPr>
  <dimension ref="A1:O16"/>
  <sheetViews>
    <sheetView topLeftCell="C1" zoomScaleNormal="100" workbookViewId="0">
      <selection activeCell="I4" sqref="I4:J4"/>
    </sheetView>
  </sheetViews>
  <sheetFormatPr defaultRowHeight="15"/>
  <cols>
    <col min="1" max="1" width="3.7109375" customWidth="1"/>
    <col min="2" max="2" width="30.7109375" customWidth="1"/>
    <col min="3" max="10" width="15.7109375" customWidth="1"/>
    <col min="11" max="15" width="10.7109375" customWidth="1"/>
  </cols>
  <sheetData>
    <row r="1" spans="1:15">
      <c r="A1" s="140" t="s">
        <v>266</v>
      </c>
      <c r="B1" s="140"/>
      <c r="C1" s="140"/>
      <c r="D1" s="140"/>
      <c r="E1" s="140"/>
      <c r="F1" s="140"/>
      <c r="G1" s="140"/>
      <c r="H1" s="140"/>
      <c r="I1" s="140"/>
      <c r="J1" s="68" t="s">
        <v>14</v>
      </c>
      <c r="L1" s="6"/>
      <c r="M1" s="6"/>
      <c r="N1" s="6"/>
      <c r="O1" s="6"/>
    </row>
    <row r="2" spans="1:15">
      <c r="A2" s="140"/>
      <c r="B2" s="140"/>
      <c r="C2" s="140"/>
      <c r="D2" s="140"/>
      <c r="E2" s="140"/>
      <c r="F2" s="140"/>
      <c r="G2" s="140"/>
      <c r="H2" s="140"/>
      <c r="I2" s="140"/>
      <c r="J2" s="149" t="s">
        <v>301</v>
      </c>
      <c r="L2" s="6"/>
      <c r="M2" s="6"/>
      <c r="N2" s="6"/>
      <c r="O2" s="6"/>
    </row>
    <row r="3" spans="1:15">
      <c r="A3" s="139"/>
      <c r="B3" s="139"/>
      <c r="C3" s="139"/>
      <c r="D3" s="139"/>
      <c r="E3" s="139"/>
      <c r="F3" s="139"/>
      <c r="G3" s="139"/>
      <c r="H3" s="139"/>
      <c r="I3" s="139"/>
      <c r="J3" s="142"/>
    </row>
    <row r="4" spans="1:15" ht="53.25" customHeight="1">
      <c r="A4" s="20"/>
      <c r="B4" s="16" t="s">
        <v>84</v>
      </c>
      <c r="C4" s="16" t="str">
        <f>"Факт " &amp; J2 &amp; "            2023 г"</f>
        <v>Факт Сентябрь            2023 г</v>
      </c>
      <c r="D4" s="16" t="str">
        <f xml:space="preserve"> "Факт " &amp; J2 &amp; "                   2024 г"</f>
        <v>Факт Сентябрь                   2024 г</v>
      </c>
      <c r="E4" s="147" t="s">
        <v>252</v>
      </c>
      <c r="F4" s="148"/>
      <c r="G4" s="16" t="str">
        <f xml:space="preserve"> "Факт Январь -" &amp; J2 &amp; " 2023 г"</f>
        <v>Факт Январь -Сентябрь 2023 г</v>
      </c>
      <c r="H4" s="16" t="str">
        <f xml:space="preserve"> "Факт Январь -" &amp; J2 &amp; " 2024 г"</f>
        <v>Факт Январь -Сентябрь 2024 г</v>
      </c>
      <c r="I4" s="147" t="s">
        <v>252</v>
      </c>
      <c r="J4" s="148"/>
    </row>
    <row r="5" spans="1:15" ht="15" customHeight="1">
      <c r="A5" s="81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19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ht="24.95" customHeight="1">
      <c r="A7" s="19">
        <v>1</v>
      </c>
      <c r="B7" s="29" t="s">
        <v>29</v>
      </c>
      <c r="C7" s="40">
        <v>228</v>
      </c>
      <c r="D7" s="40">
        <v>288</v>
      </c>
      <c r="E7" s="19">
        <f t="shared" ref="E7" si="0">IF(AND(C7=0,D7=0),"",IFERROR(IF(OR(D7=0,D7=""),-C7,D7-C7),""))</f>
        <v>60</v>
      </c>
      <c r="F7" s="42">
        <f t="shared" ref="F7" si="1">IF(AND(D7=0,C7=0),"",IFERROR(IF(C7=0, D7, D7/C7),""))</f>
        <v>1.263157894736842</v>
      </c>
      <c r="G7" s="40">
        <v>1386</v>
      </c>
      <c r="H7" s="40">
        <v>2020</v>
      </c>
      <c r="I7" s="19">
        <f t="shared" ref="I7:I15" si="2">IF(AND(G7=0,H7=0),"",IFERROR(IF(OR(H7=0,H7=""),-G7,H7-G7),""))</f>
        <v>634</v>
      </c>
      <c r="J7" s="42">
        <f t="shared" ref="J7:J15" si="3">IF(AND(H7=0,G7=0),"",IFERROR(IF(G7=0, H7, H7/G7),""))</f>
        <v>1.4574314574314575</v>
      </c>
    </row>
    <row r="8" spans="1:15" ht="24.95" customHeight="1">
      <c r="A8" s="19">
        <v>2</v>
      </c>
      <c r="B8" s="29" t="s">
        <v>72</v>
      </c>
      <c r="C8" s="40"/>
      <c r="D8" s="40"/>
      <c r="E8" s="19" t="str">
        <f t="shared" ref="E8:E15" si="4">IF(AND(C8=0,D8=0),"",IFERROR(IF(OR(D8=0,D8=""),-C8,D8-C8),""))</f>
        <v/>
      </c>
      <c r="F8" s="42" t="str">
        <f t="shared" ref="F8:F15" si="5">IF(AND(D8=0,C8=0),"",IFERROR(IF(C8=0, D8, D8/C8),""))</f>
        <v/>
      </c>
      <c r="G8" s="40"/>
      <c r="H8" s="40"/>
      <c r="I8" s="19" t="str">
        <f t="shared" si="2"/>
        <v/>
      </c>
      <c r="J8" s="42" t="str">
        <f t="shared" si="3"/>
        <v/>
      </c>
    </row>
    <row r="9" spans="1:15" ht="24.95" customHeight="1">
      <c r="A9" s="19">
        <v>3</v>
      </c>
      <c r="B9" s="15" t="s">
        <v>85</v>
      </c>
      <c r="C9" s="40">
        <v>10</v>
      </c>
      <c r="D9" s="40">
        <v>12</v>
      </c>
      <c r="E9" s="19">
        <f t="shared" si="4"/>
        <v>2</v>
      </c>
      <c r="F9" s="42">
        <f t="shared" si="5"/>
        <v>1.2</v>
      </c>
      <c r="G9" s="40">
        <v>85</v>
      </c>
      <c r="H9" s="40">
        <v>149</v>
      </c>
      <c r="I9" s="19">
        <f t="shared" si="2"/>
        <v>64</v>
      </c>
      <c r="J9" s="42">
        <f t="shared" si="3"/>
        <v>1.7529411764705882</v>
      </c>
    </row>
    <row r="10" spans="1:15" ht="24.95" customHeight="1">
      <c r="A10" s="19">
        <v>4</v>
      </c>
      <c r="B10" s="15" t="s">
        <v>86</v>
      </c>
      <c r="C10" s="40">
        <v>218</v>
      </c>
      <c r="D10" s="40">
        <v>276</v>
      </c>
      <c r="E10" s="19">
        <f t="shared" si="4"/>
        <v>58</v>
      </c>
      <c r="F10" s="42">
        <f t="shared" si="5"/>
        <v>1.2660550458715596</v>
      </c>
      <c r="G10" s="40">
        <v>1255</v>
      </c>
      <c r="H10" s="40">
        <v>1871</v>
      </c>
      <c r="I10" s="19">
        <f t="shared" si="2"/>
        <v>616</v>
      </c>
      <c r="J10" s="42">
        <f t="shared" si="3"/>
        <v>1.4908366533864541</v>
      </c>
    </row>
    <row r="11" spans="1:15" ht="24.95" customHeight="1">
      <c r="A11" s="19">
        <v>5</v>
      </c>
      <c r="B11" s="29" t="s">
        <v>87</v>
      </c>
      <c r="C11" s="40">
        <v>143</v>
      </c>
      <c r="D11" s="40">
        <v>200</v>
      </c>
      <c r="E11" s="19">
        <f t="shared" si="4"/>
        <v>57</v>
      </c>
      <c r="F11" s="42">
        <f t="shared" si="5"/>
        <v>1.3986013986013985</v>
      </c>
      <c r="G11" s="40">
        <v>1296</v>
      </c>
      <c r="H11" s="40">
        <v>1714</v>
      </c>
      <c r="I11" s="19">
        <f t="shared" si="2"/>
        <v>418</v>
      </c>
      <c r="J11" s="42">
        <f t="shared" si="3"/>
        <v>1.3225308641975309</v>
      </c>
    </row>
    <row r="12" spans="1:15" ht="24.95" customHeight="1">
      <c r="A12" s="19">
        <v>6</v>
      </c>
      <c r="B12" s="29" t="s">
        <v>88</v>
      </c>
      <c r="C12" s="40">
        <v>0</v>
      </c>
      <c r="D12" s="40">
        <v>20</v>
      </c>
      <c r="E12" s="19">
        <f t="shared" si="4"/>
        <v>20</v>
      </c>
      <c r="F12" s="42">
        <f t="shared" si="5"/>
        <v>20</v>
      </c>
      <c r="G12" s="40">
        <v>0</v>
      </c>
      <c r="H12" s="40">
        <v>92</v>
      </c>
      <c r="I12" s="19">
        <f t="shared" si="2"/>
        <v>92</v>
      </c>
      <c r="J12" s="42">
        <f t="shared" si="3"/>
        <v>92</v>
      </c>
    </row>
    <row r="13" spans="1:15" ht="24.95" customHeight="1">
      <c r="A13" s="19">
        <v>7</v>
      </c>
      <c r="B13" s="29" t="s">
        <v>89</v>
      </c>
      <c r="C13" s="40">
        <v>3</v>
      </c>
      <c r="D13" s="40">
        <v>5</v>
      </c>
      <c r="E13" s="19">
        <f t="shared" si="4"/>
        <v>2</v>
      </c>
      <c r="F13" s="42">
        <f t="shared" si="5"/>
        <v>1.6666666666666667</v>
      </c>
      <c r="G13" s="40">
        <v>48</v>
      </c>
      <c r="H13" s="40">
        <v>60</v>
      </c>
      <c r="I13" s="19">
        <f t="shared" si="2"/>
        <v>12</v>
      </c>
      <c r="J13" s="42">
        <f t="shared" si="3"/>
        <v>1.25</v>
      </c>
    </row>
    <row r="14" spans="1:15" ht="24.95" customHeight="1">
      <c r="A14" s="19">
        <v>8</v>
      </c>
      <c r="B14" s="29" t="s">
        <v>90</v>
      </c>
      <c r="C14" s="40">
        <v>171</v>
      </c>
      <c r="D14" s="40">
        <v>224</v>
      </c>
      <c r="E14" s="19">
        <f t="shared" si="4"/>
        <v>53</v>
      </c>
      <c r="F14" s="42">
        <f t="shared" si="5"/>
        <v>1.3099415204678362</v>
      </c>
      <c r="G14" s="40">
        <v>1960</v>
      </c>
      <c r="H14" s="40">
        <v>2000</v>
      </c>
      <c r="I14" s="19">
        <f t="shared" si="2"/>
        <v>40</v>
      </c>
      <c r="J14" s="42">
        <f t="shared" si="3"/>
        <v>1.0204081632653061</v>
      </c>
    </row>
    <row r="15" spans="1:15" ht="24.95" customHeight="1">
      <c r="A15" s="19">
        <v>9</v>
      </c>
      <c r="B15" s="29" t="s">
        <v>91</v>
      </c>
      <c r="C15" s="40">
        <v>26</v>
      </c>
      <c r="D15" s="40">
        <v>2</v>
      </c>
      <c r="E15" s="19">
        <f t="shared" si="4"/>
        <v>-24</v>
      </c>
      <c r="F15" s="42">
        <f t="shared" si="5"/>
        <v>7.6923076923076927E-2</v>
      </c>
      <c r="G15" s="40">
        <v>638</v>
      </c>
      <c r="H15" s="40">
        <v>221</v>
      </c>
      <c r="I15" s="19">
        <f t="shared" si="2"/>
        <v>-417</v>
      </c>
      <c r="J15" s="42">
        <f t="shared" si="3"/>
        <v>0.34639498432601878</v>
      </c>
    </row>
    <row r="16" spans="1: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sheetProtection algorithmName="SHA-512" hashValue="W0Tirh7EQpnqAjxrCk/zZJjP4MmQpuSmqWtzEYOTD99G77CviepInV7UC5BvjXaZVgfpSYeI5P/oH9QYNHlNmA==" saltValue="q9TcFnnZ6cgKtcQvVzM8qg==" spinCount="100000" sheet="1" objects="1" scenarios="1"/>
  <mergeCells count="4">
    <mergeCell ref="E4:F4"/>
    <mergeCell ref="I4:J4"/>
    <mergeCell ref="A1:I3"/>
    <mergeCell ref="J2:J3"/>
  </mergeCells>
  <pageMargins left="0.7" right="0.7" top="0.75" bottom="0.75" header="0.3" footer="0.3"/>
  <pageSetup paperSize="9" scale="8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5F5F7-B29D-4133-935B-FC7B450D4C52}">
  <sheetPr>
    <pageSetUpPr fitToPage="1"/>
  </sheetPr>
  <dimension ref="A1:O17"/>
  <sheetViews>
    <sheetView topLeftCell="C1" zoomScale="85" zoomScaleNormal="85" workbookViewId="0">
      <selection activeCell="I4" sqref="I4:J4"/>
    </sheetView>
  </sheetViews>
  <sheetFormatPr defaultRowHeight="15"/>
  <cols>
    <col min="1" max="1" width="4.7109375" style="78" customWidth="1"/>
    <col min="2" max="2" width="29.28515625" style="76" customWidth="1"/>
    <col min="3" max="10" width="15.7109375" customWidth="1"/>
  </cols>
  <sheetData>
    <row r="1" spans="1:15" ht="15" customHeight="1">
      <c r="A1" s="140" t="s">
        <v>267</v>
      </c>
      <c r="B1" s="140"/>
      <c r="C1" s="140"/>
      <c r="D1" s="140"/>
      <c r="E1" s="140"/>
      <c r="F1" s="140"/>
      <c r="G1" s="140"/>
      <c r="H1" s="140"/>
      <c r="I1" s="140"/>
      <c r="J1" s="68" t="s">
        <v>14</v>
      </c>
      <c r="K1" s="6"/>
      <c r="L1" s="6"/>
      <c r="M1" s="6"/>
      <c r="N1" s="6"/>
      <c r="O1" s="6"/>
    </row>
    <row r="2" spans="1:15" ht="15" customHeight="1">
      <c r="A2" s="140"/>
      <c r="B2" s="140"/>
      <c r="C2" s="140"/>
      <c r="D2" s="140"/>
      <c r="E2" s="140"/>
      <c r="F2" s="140"/>
      <c r="G2" s="140"/>
      <c r="H2" s="140"/>
      <c r="I2" s="140"/>
      <c r="J2" s="172" t="s">
        <v>301</v>
      </c>
      <c r="K2" s="6"/>
      <c r="L2" s="6"/>
      <c r="M2" s="6"/>
      <c r="N2" s="6"/>
      <c r="O2" s="6"/>
    </row>
    <row r="3" spans="1:15" ht="15" customHeight="1">
      <c r="A3" s="139"/>
      <c r="B3" s="139"/>
      <c r="C3" s="139"/>
      <c r="D3" s="139"/>
      <c r="E3" s="139"/>
      <c r="F3" s="139"/>
      <c r="G3" s="139"/>
      <c r="H3" s="139"/>
      <c r="I3" s="139"/>
      <c r="J3" s="155"/>
    </row>
    <row r="4" spans="1:15" ht="50.1" customHeight="1">
      <c r="A4" s="77"/>
      <c r="B4" s="67" t="s">
        <v>84</v>
      </c>
      <c r="C4" s="49" t="str">
        <f>"Факт " &amp; J2 &amp; " 2023 г"</f>
        <v>Факт Сентябрь 2023 г</v>
      </c>
      <c r="D4" s="49" t="str">
        <f xml:space="preserve"> "Факт " &amp; J2 &amp; " 2024 г"</f>
        <v>Факт Сентябрь 2024 г</v>
      </c>
      <c r="E4" s="147" t="s">
        <v>253</v>
      </c>
      <c r="F4" s="148"/>
      <c r="G4" s="49" t="str">
        <f xml:space="preserve"> "Факт Январь -" &amp; J2 &amp; " 2023 г"</f>
        <v>Факт Январь -Сентябрь 2023 г</v>
      </c>
      <c r="H4" s="49" t="str">
        <f xml:space="preserve"> "Факт Январь -" &amp; J2 &amp; " 2024 г"</f>
        <v>Факт Январь -Сентябрь 2024 г</v>
      </c>
      <c r="I4" s="147" t="s">
        <v>252</v>
      </c>
      <c r="J4" s="148"/>
    </row>
    <row r="5" spans="1:15" ht="15" customHeight="1">
      <c r="A5" s="77"/>
      <c r="B5" s="75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18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ht="24.95" customHeight="1">
      <c r="A7" s="18">
        <v>1</v>
      </c>
      <c r="B7" s="27" t="s">
        <v>29</v>
      </c>
      <c r="C7" s="40">
        <v>1244</v>
      </c>
      <c r="D7" s="40">
        <v>1911</v>
      </c>
      <c r="E7" s="19">
        <f t="shared" ref="E7:E15" si="0">IF(AND(C7=0,D7=0),"",IFERROR(IF(OR(D7=0,D7=""),-C7,D7-C7),""))</f>
        <v>667</v>
      </c>
      <c r="F7" s="42">
        <f t="shared" ref="F7:F15" si="1">IF(AND(D7=0,C7=0),"",IFERROR(IF(C7=0, D7, D7/C7),""))</f>
        <v>1.5361736334405145</v>
      </c>
      <c r="G7" s="40">
        <v>11139</v>
      </c>
      <c r="H7" s="40">
        <v>15872</v>
      </c>
      <c r="I7" s="19">
        <f t="shared" ref="I7:I17" si="2">IF(AND(G7=0,H7=0),"",IFERROR(IF(OR(H7=0,H7=""),-G7,H7-G7),""))</f>
        <v>4733</v>
      </c>
      <c r="J7" s="42">
        <f t="shared" ref="J7:J17" si="3">IF(AND(H7=0,G7=0),"",IFERROR(IF(G7=0, H7, H7/G7),""))</f>
        <v>1.4249034922344914</v>
      </c>
    </row>
    <row r="8" spans="1:15" ht="24.95" customHeight="1">
      <c r="A8" s="18">
        <v>2</v>
      </c>
      <c r="B8" s="27" t="s">
        <v>72</v>
      </c>
      <c r="C8" s="40"/>
      <c r="D8" s="40"/>
      <c r="E8" s="19" t="str">
        <f t="shared" si="0"/>
        <v/>
      </c>
      <c r="F8" s="42" t="str">
        <f t="shared" si="1"/>
        <v/>
      </c>
      <c r="G8" s="40"/>
      <c r="H8" s="40"/>
      <c r="I8" s="19" t="str">
        <f t="shared" si="2"/>
        <v/>
      </c>
      <c r="J8" s="42" t="str">
        <f t="shared" si="3"/>
        <v/>
      </c>
    </row>
    <row r="9" spans="1:15" ht="24.95" customHeight="1">
      <c r="A9" s="18">
        <v>3</v>
      </c>
      <c r="B9" s="33" t="s">
        <v>85</v>
      </c>
      <c r="C9" s="40">
        <v>142</v>
      </c>
      <c r="D9" s="40">
        <v>146</v>
      </c>
      <c r="E9" s="19">
        <f t="shared" si="0"/>
        <v>4</v>
      </c>
      <c r="F9" s="42">
        <f t="shared" si="1"/>
        <v>1.028169014084507</v>
      </c>
      <c r="G9" s="40">
        <v>1769</v>
      </c>
      <c r="H9" s="40">
        <v>1071</v>
      </c>
      <c r="I9" s="19">
        <f t="shared" si="2"/>
        <v>-698</v>
      </c>
      <c r="J9" s="42">
        <f t="shared" si="3"/>
        <v>0.6054267947993216</v>
      </c>
    </row>
    <row r="10" spans="1:15" ht="24.95" customHeight="1">
      <c r="A10" s="18">
        <v>4</v>
      </c>
      <c r="B10" s="33" t="s">
        <v>92</v>
      </c>
      <c r="C10" s="40">
        <v>27</v>
      </c>
      <c r="D10" s="40">
        <v>56</v>
      </c>
      <c r="E10" s="19">
        <f t="shared" si="0"/>
        <v>29</v>
      </c>
      <c r="F10" s="42">
        <f t="shared" si="1"/>
        <v>2.074074074074074</v>
      </c>
      <c r="G10" s="40">
        <v>418</v>
      </c>
      <c r="H10" s="40">
        <v>348</v>
      </c>
      <c r="I10" s="19">
        <f t="shared" si="2"/>
        <v>-70</v>
      </c>
      <c r="J10" s="42">
        <f t="shared" si="3"/>
        <v>0.83253588516746413</v>
      </c>
    </row>
    <row r="11" spans="1:15" ht="24.95" customHeight="1">
      <c r="A11" s="18">
        <v>5</v>
      </c>
      <c r="B11" s="33" t="s">
        <v>93</v>
      </c>
      <c r="C11" s="40">
        <v>33</v>
      </c>
      <c r="D11" s="40">
        <v>26</v>
      </c>
      <c r="E11" s="19">
        <f t="shared" si="0"/>
        <v>-7</v>
      </c>
      <c r="F11" s="42">
        <f t="shared" si="1"/>
        <v>0.78787878787878785</v>
      </c>
      <c r="G11" s="40">
        <v>260</v>
      </c>
      <c r="H11" s="40">
        <v>266</v>
      </c>
      <c r="I11" s="19">
        <f t="shared" si="2"/>
        <v>6</v>
      </c>
      <c r="J11" s="42">
        <f t="shared" si="3"/>
        <v>1.023076923076923</v>
      </c>
    </row>
    <row r="12" spans="1:15" ht="24.95" customHeight="1">
      <c r="A12" s="18">
        <v>6</v>
      </c>
      <c r="B12" s="33" t="s">
        <v>94</v>
      </c>
      <c r="C12" s="40">
        <v>730</v>
      </c>
      <c r="D12" s="40">
        <v>1343</v>
      </c>
      <c r="E12" s="19">
        <f t="shared" si="0"/>
        <v>613</v>
      </c>
      <c r="F12" s="42">
        <f t="shared" si="1"/>
        <v>1.8397260273972602</v>
      </c>
      <c r="G12" s="40">
        <v>5424</v>
      </c>
      <c r="H12" s="40">
        <v>10433</v>
      </c>
      <c r="I12" s="19">
        <f t="shared" si="2"/>
        <v>5009</v>
      </c>
      <c r="J12" s="42">
        <f t="shared" si="3"/>
        <v>1.9234882005899705</v>
      </c>
    </row>
    <row r="13" spans="1:15" ht="24.95" customHeight="1">
      <c r="A13" s="18">
        <v>7</v>
      </c>
      <c r="B13" s="33" t="s">
        <v>95</v>
      </c>
      <c r="C13" s="40">
        <v>83</v>
      </c>
      <c r="D13" s="40">
        <v>140</v>
      </c>
      <c r="E13" s="19">
        <f t="shared" si="0"/>
        <v>57</v>
      </c>
      <c r="F13" s="42">
        <f t="shared" si="1"/>
        <v>1.6867469879518073</v>
      </c>
      <c r="G13" s="40">
        <v>756</v>
      </c>
      <c r="H13" s="40">
        <v>1287</v>
      </c>
      <c r="I13" s="19">
        <f t="shared" si="2"/>
        <v>531</v>
      </c>
      <c r="J13" s="42">
        <f t="shared" si="3"/>
        <v>1.7023809523809523</v>
      </c>
    </row>
    <row r="14" spans="1:15" ht="24.95" customHeight="1">
      <c r="A14" s="18">
        <v>8</v>
      </c>
      <c r="B14" s="27" t="s">
        <v>87</v>
      </c>
      <c r="C14" s="40">
        <v>565</v>
      </c>
      <c r="D14" s="40">
        <v>795</v>
      </c>
      <c r="E14" s="19">
        <f t="shared" si="0"/>
        <v>230</v>
      </c>
      <c r="F14" s="42">
        <f t="shared" si="1"/>
        <v>1.4070796460176991</v>
      </c>
      <c r="G14" s="40">
        <v>4022</v>
      </c>
      <c r="H14" s="40">
        <v>6235</v>
      </c>
      <c r="I14" s="19">
        <f t="shared" si="2"/>
        <v>2213</v>
      </c>
      <c r="J14" s="42">
        <f t="shared" si="3"/>
        <v>1.5502237692690204</v>
      </c>
    </row>
    <row r="15" spans="1:15" ht="24.95" customHeight="1">
      <c r="A15" s="18">
        <v>9</v>
      </c>
      <c r="B15" s="27" t="s">
        <v>96</v>
      </c>
      <c r="C15" s="40">
        <v>4</v>
      </c>
      <c r="D15" s="40">
        <v>126</v>
      </c>
      <c r="E15" s="19">
        <f t="shared" si="0"/>
        <v>122</v>
      </c>
      <c r="F15" s="42">
        <f t="shared" si="1"/>
        <v>31.5</v>
      </c>
      <c r="G15" s="40">
        <v>32</v>
      </c>
      <c r="H15" s="40">
        <v>196</v>
      </c>
      <c r="I15" s="19">
        <f t="shared" si="2"/>
        <v>164</v>
      </c>
      <c r="J15" s="42">
        <f t="shared" si="3"/>
        <v>6.125</v>
      </c>
    </row>
    <row r="16" spans="1:15" ht="24.95" customHeight="1">
      <c r="A16" s="18">
        <v>10</v>
      </c>
      <c r="B16" s="27" t="s">
        <v>90</v>
      </c>
      <c r="C16" s="40">
        <v>586</v>
      </c>
      <c r="D16" s="40">
        <v>790</v>
      </c>
      <c r="E16" s="19">
        <f t="shared" ref="E16:E17" si="4">IF(AND(C16=0,D16=0),"",IFERROR(IF(OR(D16=0,D16=""),-C16,D16-C16),""))</f>
        <v>204</v>
      </c>
      <c r="F16" s="42">
        <f t="shared" ref="F16:F17" si="5">IF(AND(D16=0,C16=0),"",IFERROR(IF(C16=0, D16, D16/C16),""))</f>
        <v>1.348122866894198</v>
      </c>
      <c r="G16" s="40">
        <v>5769</v>
      </c>
      <c r="H16" s="40">
        <v>6674</v>
      </c>
      <c r="I16" s="19">
        <f t="shared" si="2"/>
        <v>905</v>
      </c>
      <c r="J16" s="42">
        <f t="shared" si="3"/>
        <v>1.15687294158433</v>
      </c>
    </row>
    <row r="17" spans="1:10" ht="24.95" customHeight="1">
      <c r="A17" s="18">
        <v>11</v>
      </c>
      <c r="B17" s="27" t="s">
        <v>91</v>
      </c>
      <c r="C17" s="40">
        <v>1</v>
      </c>
      <c r="D17" s="40">
        <v>7</v>
      </c>
      <c r="E17" s="19">
        <f t="shared" si="4"/>
        <v>6</v>
      </c>
      <c r="F17" s="42">
        <f t="shared" si="5"/>
        <v>7</v>
      </c>
      <c r="G17" s="40">
        <v>6</v>
      </c>
      <c r="H17" s="40">
        <v>11</v>
      </c>
      <c r="I17" s="19">
        <f t="shared" si="2"/>
        <v>5</v>
      </c>
      <c r="J17" s="42">
        <f t="shared" si="3"/>
        <v>1.8333333333333333</v>
      </c>
    </row>
  </sheetData>
  <sheetProtection algorithmName="SHA-512" hashValue="R0I6hob/k4pYl+8l1TEIuksXcPZN8XhcdlJwfzTlPoNzWSrf5uVoaubyQprnxogYT9HhYhSWPX9PktK854wOPQ==" saltValue="vIeNnzYsvelyLSLJlSnApw==" spinCount="100000" sheet="1" objects="1" scenarios="1"/>
  <mergeCells count="4">
    <mergeCell ref="A1:I3"/>
    <mergeCell ref="E4:F4"/>
    <mergeCell ref="I4:J4"/>
    <mergeCell ref="J2:J3"/>
  </mergeCells>
  <pageMargins left="0.7" right="0.7" top="0.75" bottom="0.75" header="0.3" footer="0.3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F8E6D-70D4-4FB8-A38F-135E29918964}">
  <sheetPr>
    <pageSetUpPr fitToPage="1"/>
  </sheetPr>
  <dimension ref="A1:O20"/>
  <sheetViews>
    <sheetView topLeftCell="B1" zoomScale="85" zoomScaleNormal="85" workbookViewId="0">
      <selection activeCell="I7" sqref="I7:J7"/>
    </sheetView>
  </sheetViews>
  <sheetFormatPr defaultRowHeight="15"/>
  <cols>
    <col min="1" max="1" width="3.7109375" customWidth="1"/>
    <col min="2" max="2" width="33.7109375" customWidth="1"/>
    <col min="3" max="10" width="15.7109375" customWidth="1"/>
  </cols>
  <sheetData>
    <row r="1" spans="1:15" ht="15" customHeight="1">
      <c r="A1" s="140" t="s">
        <v>269</v>
      </c>
      <c r="B1" s="140"/>
      <c r="C1" s="140"/>
      <c r="D1" s="140"/>
      <c r="E1" s="140"/>
      <c r="F1" s="140"/>
      <c r="G1" s="140"/>
      <c r="H1" s="140"/>
      <c r="I1" s="140"/>
      <c r="J1" s="68" t="s">
        <v>14</v>
      </c>
      <c r="K1" s="6"/>
      <c r="L1" s="6"/>
      <c r="M1" s="6"/>
      <c r="N1" s="6"/>
      <c r="O1" s="6"/>
    </row>
    <row r="2" spans="1:15" ht="15" customHeight="1">
      <c r="A2" s="140"/>
      <c r="B2" s="140"/>
      <c r="C2" s="140"/>
      <c r="D2" s="140"/>
      <c r="E2" s="140"/>
      <c r="F2" s="140"/>
      <c r="G2" s="140"/>
      <c r="H2" s="140"/>
      <c r="I2" s="140"/>
      <c r="J2" s="173" t="s">
        <v>301</v>
      </c>
      <c r="K2" s="6"/>
      <c r="L2" s="6"/>
      <c r="M2" s="6"/>
      <c r="N2" s="6"/>
      <c r="O2" s="6"/>
    </row>
    <row r="3" spans="1:15" ht="15" customHeight="1">
      <c r="A3" s="139"/>
      <c r="B3" s="139"/>
      <c r="C3" s="139"/>
      <c r="D3" s="139"/>
      <c r="E3" s="139"/>
      <c r="F3" s="139"/>
      <c r="G3" s="139"/>
      <c r="H3" s="139"/>
      <c r="I3" s="139"/>
      <c r="J3" s="174"/>
      <c r="K3" s="6"/>
      <c r="L3" s="6"/>
      <c r="M3" s="6"/>
      <c r="N3" s="6"/>
      <c r="O3" s="6"/>
    </row>
    <row r="4" spans="1:15" ht="50.1" customHeight="1">
      <c r="A4" s="18"/>
      <c r="B4" s="49" t="s">
        <v>70</v>
      </c>
      <c r="C4" s="49" t="str">
        <f>"Факт " &amp; J2 &amp; " 2023 г"</f>
        <v>Факт Сентябрь 2023 г</v>
      </c>
      <c r="D4" s="49" t="str">
        <f xml:space="preserve"> "Факт " &amp; J2 &amp; " 2024 г"</f>
        <v>Факт Сентябрь 2024 г</v>
      </c>
      <c r="E4" s="147" t="s">
        <v>252</v>
      </c>
      <c r="F4" s="148"/>
      <c r="G4" s="49" t="str">
        <f xml:space="preserve"> "Факт Январь -" &amp; J2 &amp; " 2023 г"</f>
        <v>Факт Январь -Сентябрь 2023 г</v>
      </c>
      <c r="H4" s="49" t="str">
        <f xml:space="preserve"> "Факт Январь -" &amp; J2 &amp; " 2024 г"</f>
        <v>Факт Январь -Сентябрь 2024 г</v>
      </c>
      <c r="I4" s="147" t="s">
        <v>253</v>
      </c>
      <c r="J4" s="148"/>
    </row>
    <row r="5" spans="1:15" ht="15" customHeight="1">
      <c r="A5" s="64"/>
      <c r="B5" s="64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18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ht="24.95" customHeight="1">
      <c r="A7" s="18">
        <v>1</v>
      </c>
      <c r="B7" s="29" t="s">
        <v>97</v>
      </c>
      <c r="C7" s="40">
        <v>37</v>
      </c>
      <c r="D7" s="40">
        <v>31</v>
      </c>
      <c r="E7" s="19">
        <f t="shared" ref="E7:E20" si="0">IF(AND(C7=0,D7=0),"",IFERROR(IF(OR(D7=0,D7=""),-C7,D7-C7),""))</f>
        <v>-6</v>
      </c>
      <c r="F7" s="42">
        <f t="shared" ref="F7:F20" si="1">IF(AND(D7=0,C7=0),"",IFERROR(IF(C7=0, D7, D7/C7),""))</f>
        <v>0.83783783783783783</v>
      </c>
      <c r="G7" s="40">
        <v>341</v>
      </c>
      <c r="H7" s="40">
        <v>420</v>
      </c>
      <c r="I7" s="19">
        <f t="shared" ref="I7:I20" si="2">IF(AND(G7=0,H7=0),"",IFERROR(IF(OR(H7=0,H7=""),-G7,H7-G7),""))</f>
        <v>79</v>
      </c>
      <c r="J7" s="42">
        <f t="shared" ref="J7:J20" si="3">IF(AND(H7=0,G7=0),"",IFERROR(IF(G7=0, H7, H7/G7),""))</f>
        <v>1.2316715542521994</v>
      </c>
    </row>
    <row r="8" spans="1:15" ht="24.95" customHeight="1">
      <c r="A8" s="18">
        <v>2</v>
      </c>
      <c r="B8" s="29" t="s">
        <v>98</v>
      </c>
      <c r="C8" s="40">
        <v>0</v>
      </c>
      <c r="D8" s="40">
        <v>5</v>
      </c>
      <c r="E8" s="19">
        <f t="shared" si="0"/>
        <v>5</v>
      </c>
      <c r="F8" s="42">
        <f t="shared" si="1"/>
        <v>5</v>
      </c>
      <c r="G8" s="40">
        <v>0</v>
      </c>
      <c r="H8" s="40">
        <v>5</v>
      </c>
      <c r="I8" s="19">
        <f t="shared" si="2"/>
        <v>5</v>
      </c>
      <c r="J8" s="42">
        <f t="shared" si="3"/>
        <v>5</v>
      </c>
    </row>
    <row r="9" spans="1:15" ht="24.95" customHeight="1">
      <c r="A9" s="18">
        <v>3</v>
      </c>
      <c r="B9" s="29" t="s">
        <v>99</v>
      </c>
      <c r="C9" s="40">
        <v>35</v>
      </c>
      <c r="D9" s="40">
        <v>27</v>
      </c>
      <c r="E9" s="19">
        <f t="shared" si="0"/>
        <v>-8</v>
      </c>
      <c r="F9" s="42">
        <f t="shared" si="1"/>
        <v>0.77142857142857146</v>
      </c>
      <c r="G9" s="40">
        <v>380</v>
      </c>
      <c r="H9" s="40">
        <v>623</v>
      </c>
      <c r="I9" s="19">
        <f t="shared" si="2"/>
        <v>243</v>
      </c>
      <c r="J9" s="42">
        <f t="shared" si="3"/>
        <v>1.6394736842105264</v>
      </c>
    </row>
    <row r="10" spans="1:15" ht="24.95" customHeight="1">
      <c r="A10" s="18">
        <v>4</v>
      </c>
      <c r="B10" s="29" t="s">
        <v>146</v>
      </c>
      <c r="C10" s="40"/>
      <c r="D10" s="40"/>
      <c r="E10" s="19" t="str">
        <f t="shared" si="0"/>
        <v/>
      </c>
      <c r="F10" s="42" t="str">
        <f t="shared" si="1"/>
        <v/>
      </c>
      <c r="G10" s="40"/>
      <c r="H10" s="40"/>
      <c r="I10" s="19" t="str">
        <f t="shared" si="2"/>
        <v/>
      </c>
      <c r="J10" s="42" t="str">
        <f t="shared" si="3"/>
        <v/>
      </c>
    </row>
    <row r="11" spans="1:15" ht="24.95" customHeight="1">
      <c r="A11" s="18">
        <v>5</v>
      </c>
      <c r="B11" s="15" t="s">
        <v>100</v>
      </c>
      <c r="C11" s="40">
        <v>2</v>
      </c>
      <c r="D11" s="40">
        <v>1</v>
      </c>
      <c r="E11" s="19">
        <f t="shared" si="0"/>
        <v>-1</v>
      </c>
      <c r="F11" s="42">
        <f t="shared" si="1"/>
        <v>0.5</v>
      </c>
      <c r="G11" s="40">
        <v>15</v>
      </c>
      <c r="H11" s="40">
        <v>30</v>
      </c>
      <c r="I11" s="19">
        <f t="shared" si="2"/>
        <v>15</v>
      </c>
      <c r="J11" s="42">
        <f t="shared" si="3"/>
        <v>2</v>
      </c>
    </row>
    <row r="12" spans="1:15" ht="24.95" customHeight="1">
      <c r="A12" s="18">
        <v>6</v>
      </c>
      <c r="B12" s="15" t="s">
        <v>101</v>
      </c>
      <c r="C12" s="40">
        <v>7</v>
      </c>
      <c r="D12" s="40">
        <v>7</v>
      </c>
      <c r="E12" s="19">
        <f t="shared" si="0"/>
        <v>0</v>
      </c>
      <c r="F12" s="42">
        <f t="shared" si="1"/>
        <v>1</v>
      </c>
      <c r="G12" s="40">
        <v>50</v>
      </c>
      <c r="H12" s="40">
        <v>97</v>
      </c>
      <c r="I12" s="19">
        <f t="shared" si="2"/>
        <v>47</v>
      </c>
      <c r="J12" s="42">
        <f t="shared" si="3"/>
        <v>1.94</v>
      </c>
    </row>
    <row r="13" spans="1:15" ht="24.95" customHeight="1">
      <c r="A13" s="18">
        <v>7</v>
      </c>
      <c r="B13" s="15" t="s">
        <v>102</v>
      </c>
      <c r="C13" s="40">
        <v>26</v>
      </c>
      <c r="D13" s="40">
        <v>19</v>
      </c>
      <c r="E13" s="19">
        <f t="shared" si="0"/>
        <v>-7</v>
      </c>
      <c r="F13" s="42">
        <f t="shared" si="1"/>
        <v>0.73076923076923073</v>
      </c>
      <c r="G13" s="40">
        <v>315</v>
      </c>
      <c r="H13" s="40">
        <v>496</v>
      </c>
      <c r="I13" s="19">
        <f t="shared" si="2"/>
        <v>181</v>
      </c>
      <c r="J13" s="42">
        <f t="shared" si="3"/>
        <v>1.5746031746031746</v>
      </c>
    </row>
    <row r="14" spans="1:15" ht="24.95" customHeight="1">
      <c r="A14" s="18">
        <v>8</v>
      </c>
      <c r="B14" s="29" t="s">
        <v>103</v>
      </c>
      <c r="C14" s="40">
        <v>87</v>
      </c>
      <c r="D14" s="40">
        <v>13</v>
      </c>
      <c r="E14" s="19">
        <f t="shared" si="0"/>
        <v>-74</v>
      </c>
      <c r="F14" s="42">
        <f t="shared" si="1"/>
        <v>0.14942528735632185</v>
      </c>
      <c r="G14" s="40">
        <v>243</v>
      </c>
      <c r="H14" s="40">
        <v>469</v>
      </c>
      <c r="I14" s="19">
        <f t="shared" si="2"/>
        <v>226</v>
      </c>
      <c r="J14" s="42">
        <f t="shared" si="3"/>
        <v>1.9300411522633745</v>
      </c>
    </row>
    <row r="15" spans="1:15" ht="24.95" customHeight="1">
      <c r="A15" s="18">
        <v>9</v>
      </c>
      <c r="B15" s="29" t="s">
        <v>15</v>
      </c>
      <c r="C15" s="40"/>
      <c r="D15" s="40"/>
      <c r="E15" s="19" t="str">
        <f t="shared" si="0"/>
        <v/>
      </c>
      <c r="F15" s="42" t="str">
        <f t="shared" si="1"/>
        <v/>
      </c>
      <c r="G15" s="40"/>
      <c r="H15" s="40"/>
      <c r="I15" s="19" t="str">
        <f t="shared" si="2"/>
        <v/>
      </c>
      <c r="J15" s="42" t="str">
        <f t="shared" si="3"/>
        <v/>
      </c>
    </row>
    <row r="16" spans="1:15" ht="24.95" customHeight="1">
      <c r="A16" s="18">
        <v>10</v>
      </c>
      <c r="B16" s="15" t="s">
        <v>104</v>
      </c>
      <c r="C16" s="40">
        <v>87</v>
      </c>
      <c r="D16" s="40">
        <v>10</v>
      </c>
      <c r="E16" s="19">
        <f t="shared" si="0"/>
        <v>-77</v>
      </c>
      <c r="F16" s="42">
        <f t="shared" si="1"/>
        <v>0.11494252873563218</v>
      </c>
      <c r="G16" s="40">
        <v>243</v>
      </c>
      <c r="H16" s="40">
        <v>462</v>
      </c>
      <c r="I16" s="19">
        <f t="shared" si="2"/>
        <v>219</v>
      </c>
      <c r="J16" s="42">
        <f t="shared" si="3"/>
        <v>1.9012345679012346</v>
      </c>
    </row>
    <row r="17" spans="1:10" ht="24.95" customHeight="1">
      <c r="A17" s="18">
        <v>11</v>
      </c>
      <c r="B17" s="15" t="s">
        <v>105</v>
      </c>
      <c r="C17" s="40">
        <v>0</v>
      </c>
      <c r="D17" s="40">
        <v>3</v>
      </c>
      <c r="E17" s="19">
        <f t="shared" si="0"/>
        <v>3</v>
      </c>
      <c r="F17" s="42">
        <f t="shared" si="1"/>
        <v>3</v>
      </c>
      <c r="G17" s="40">
        <v>0</v>
      </c>
      <c r="H17" s="40">
        <v>7</v>
      </c>
      <c r="I17" s="19">
        <f t="shared" si="2"/>
        <v>7</v>
      </c>
      <c r="J17" s="42">
        <f t="shared" si="3"/>
        <v>7</v>
      </c>
    </row>
    <row r="18" spans="1:10" ht="24.95" customHeight="1">
      <c r="A18" s="18">
        <v>12</v>
      </c>
      <c r="B18" s="29" t="s">
        <v>106</v>
      </c>
      <c r="C18" s="40">
        <v>0</v>
      </c>
      <c r="D18" s="40">
        <v>1</v>
      </c>
      <c r="E18" s="19">
        <f t="shared" si="0"/>
        <v>1</v>
      </c>
      <c r="F18" s="42">
        <f t="shared" si="1"/>
        <v>1</v>
      </c>
      <c r="G18" s="40">
        <v>0</v>
      </c>
      <c r="H18" s="40">
        <v>4</v>
      </c>
      <c r="I18" s="19">
        <f t="shared" si="2"/>
        <v>4</v>
      </c>
      <c r="J18" s="42">
        <f t="shared" si="3"/>
        <v>4</v>
      </c>
    </row>
    <row r="19" spans="1:10" ht="24.95" customHeight="1">
      <c r="A19" s="18">
        <v>13</v>
      </c>
      <c r="B19" s="29" t="s">
        <v>107</v>
      </c>
      <c r="C19" s="40">
        <v>1</v>
      </c>
      <c r="D19" s="40">
        <v>7</v>
      </c>
      <c r="E19" s="19">
        <f t="shared" si="0"/>
        <v>6</v>
      </c>
      <c r="F19" s="42">
        <f t="shared" si="1"/>
        <v>7</v>
      </c>
      <c r="G19" s="40">
        <v>2</v>
      </c>
      <c r="H19" s="40">
        <v>578</v>
      </c>
      <c r="I19" s="19">
        <f t="shared" si="2"/>
        <v>576</v>
      </c>
      <c r="J19" s="42">
        <f t="shared" si="3"/>
        <v>289</v>
      </c>
    </row>
    <row r="20" spans="1:10" ht="24.95" customHeight="1">
      <c r="A20" s="18">
        <v>14</v>
      </c>
      <c r="B20" s="29" t="s">
        <v>108</v>
      </c>
      <c r="C20" s="40">
        <v>0</v>
      </c>
      <c r="D20" s="40">
        <v>0</v>
      </c>
      <c r="E20" s="19" t="str">
        <f t="shared" si="0"/>
        <v/>
      </c>
      <c r="F20" s="42" t="str">
        <f t="shared" si="1"/>
        <v/>
      </c>
      <c r="G20" s="40">
        <v>13</v>
      </c>
      <c r="H20" s="40">
        <v>7</v>
      </c>
      <c r="I20" s="19">
        <f t="shared" si="2"/>
        <v>-6</v>
      </c>
      <c r="J20" s="42">
        <f t="shared" si="3"/>
        <v>0.53846153846153844</v>
      </c>
    </row>
  </sheetData>
  <sheetProtection algorithmName="SHA-512" hashValue="ZOiv128lMVm8MlCWnkrIBNqbDGiE8sbblqE8iEWmITo9204j47BrCdOpBVJlGxPr6n2mmjiXXUJcLAjdym0KMQ==" saltValue="5eXp4W75LDKxO5Z9aPtVSw==" spinCount="100000" sheet="1" objects="1" scenarios="1"/>
  <mergeCells count="4">
    <mergeCell ref="E4:F4"/>
    <mergeCell ref="I4:J4"/>
    <mergeCell ref="A1:I3"/>
    <mergeCell ref="J2:J3"/>
  </mergeCells>
  <pageMargins left="0.7" right="0.7" top="0.75" bottom="0.75" header="0.3" footer="0.3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572B9-576E-4F41-8C49-73155AEF929C}">
  <sheetPr>
    <pageSetUpPr fitToPage="1"/>
  </sheetPr>
  <dimension ref="A1:O15"/>
  <sheetViews>
    <sheetView topLeftCell="B1" zoomScale="85" zoomScaleNormal="85" workbookViewId="0">
      <selection activeCell="B37" sqref="B37"/>
    </sheetView>
  </sheetViews>
  <sheetFormatPr defaultRowHeight="15"/>
  <cols>
    <col min="1" max="1" width="3.7109375" customWidth="1"/>
    <col min="2" max="2" width="40.5703125" customWidth="1"/>
    <col min="3" max="10" width="15.7109375" customWidth="1"/>
    <col min="11" max="15" width="13.7109375" customWidth="1"/>
  </cols>
  <sheetData>
    <row r="1" spans="1:15" ht="15" customHeight="1">
      <c r="A1" s="140" t="s">
        <v>268</v>
      </c>
      <c r="B1" s="140"/>
      <c r="C1" s="140"/>
      <c r="D1" s="140"/>
      <c r="E1" s="140"/>
      <c r="F1" s="140"/>
      <c r="G1" s="140"/>
      <c r="H1" s="140"/>
      <c r="I1" s="140"/>
      <c r="J1" s="68" t="s">
        <v>14</v>
      </c>
      <c r="K1" s="6"/>
      <c r="L1" s="6"/>
      <c r="M1" s="6"/>
      <c r="N1" s="6"/>
      <c r="O1" s="6"/>
    </row>
    <row r="2" spans="1:15" ht="15" customHeight="1">
      <c r="A2" s="140"/>
      <c r="B2" s="140"/>
      <c r="C2" s="140"/>
      <c r="D2" s="140"/>
      <c r="E2" s="140"/>
      <c r="F2" s="140"/>
      <c r="G2" s="140"/>
      <c r="H2" s="140"/>
      <c r="I2" s="140"/>
      <c r="J2" s="141" t="s">
        <v>301</v>
      </c>
      <c r="K2" s="6"/>
      <c r="L2" s="6"/>
      <c r="M2" s="6"/>
      <c r="N2" s="6"/>
      <c r="O2" s="6"/>
    </row>
    <row r="3" spans="1:15" ht="15" customHeight="1">
      <c r="A3" s="139"/>
      <c r="B3" s="139"/>
      <c r="C3" s="139"/>
      <c r="D3" s="139"/>
      <c r="E3" s="139"/>
      <c r="F3" s="139"/>
      <c r="G3" s="139"/>
      <c r="H3" s="139"/>
      <c r="I3" s="139"/>
      <c r="J3" s="142"/>
      <c r="K3" s="6"/>
      <c r="L3" s="6"/>
      <c r="M3" s="6"/>
      <c r="N3" s="6"/>
      <c r="O3" s="6"/>
    </row>
    <row r="4" spans="1:15" ht="50.1" customHeight="1">
      <c r="A4" s="18"/>
      <c r="B4" s="49" t="s">
        <v>70</v>
      </c>
      <c r="C4" s="49" t="str">
        <f>"Факт " &amp; J2 &amp; "           2023 г"</f>
        <v>Факт Сентябрь           2023 г</v>
      </c>
      <c r="D4" s="49" t="str">
        <f xml:space="preserve"> "Факт " &amp; J2 &amp; "        2024 г"</f>
        <v>Факт Сентябрь        2024 г</v>
      </c>
      <c r="E4" s="147" t="s">
        <v>253</v>
      </c>
      <c r="F4" s="148"/>
      <c r="G4" s="49" t="str">
        <f xml:space="preserve"> "Факт Январь -" &amp; J2 &amp; " 2023 г"</f>
        <v>Факт Январь -Сентябрь 2023 г</v>
      </c>
      <c r="H4" s="49" t="str">
        <f xml:space="preserve"> "Факт Январь -" &amp; J2 &amp; " 2024 г"</f>
        <v>Факт Январь -Сентябрь 2024 г</v>
      </c>
      <c r="I4" s="147" t="s">
        <v>252</v>
      </c>
      <c r="J4" s="148"/>
    </row>
    <row r="5" spans="1:15" ht="15" customHeight="1">
      <c r="A5" s="64"/>
      <c r="B5" s="64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18" t="s">
        <v>1</v>
      </c>
      <c r="B6" s="49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ht="24.95" customHeight="1">
      <c r="A7" s="18">
        <v>1</v>
      </c>
      <c r="B7" s="27" t="s">
        <v>97</v>
      </c>
      <c r="C7" s="40">
        <v>41</v>
      </c>
      <c r="D7" s="40">
        <v>134</v>
      </c>
      <c r="E7" s="19">
        <f t="shared" ref="E7" si="0">IF(AND(C7=0,D7=0),"",IFERROR(IF(OR(D7=0,D7=""),-C7,D7-C7),""))</f>
        <v>93</v>
      </c>
      <c r="F7" s="42">
        <f t="shared" ref="F7" si="1">IF(AND(D7=0,C7=0),"",IFERROR(IF(C7=0, D7, D7/C7),""))</f>
        <v>3.2682926829268291</v>
      </c>
      <c r="G7" s="40">
        <v>639</v>
      </c>
      <c r="H7" s="40">
        <v>1163</v>
      </c>
      <c r="I7" s="19">
        <f t="shared" ref="I7:I15" si="2">IF(AND(G7=0,H7=0),"",IFERROR(IF(OR(H7=0,H7=""),-G7,H7-G7),""))</f>
        <v>524</v>
      </c>
      <c r="J7" s="42">
        <f t="shared" ref="J7:J15" si="3">IF(AND(H7=0,G7=0),"",IFERROR(IF(G7=0, H7, H7/G7),""))</f>
        <v>1.8200312989045384</v>
      </c>
    </row>
    <row r="8" spans="1:15" ht="24.95" customHeight="1">
      <c r="A8" s="18">
        <v>2</v>
      </c>
      <c r="B8" s="27" t="s">
        <v>98</v>
      </c>
      <c r="C8" s="40">
        <v>0</v>
      </c>
      <c r="D8" s="40">
        <v>40</v>
      </c>
      <c r="E8" s="19">
        <f t="shared" ref="E8:E15" si="4">IF(AND(C8=0,D8=0),"",IFERROR(IF(OR(D8=0,D8=""),-C8,D8-C8),""))</f>
        <v>40</v>
      </c>
      <c r="F8" s="42">
        <f t="shared" ref="F8:F15" si="5">IF(AND(D8=0,C8=0),"",IFERROR(IF(C8=0, D8, D8/C8),""))</f>
        <v>40</v>
      </c>
      <c r="G8" s="40">
        <v>0</v>
      </c>
      <c r="H8" s="40">
        <v>40</v>
      </c>
      <c r="I8" s="19">
        <f t="shared" si="2"/>
        <v>40</v>
      </c>
      <c r="J8" s="42">
        <f t="shared" si="3"/>
        <v>40</v>
      </c>
    </row>
    <row r="9" spans="1:15" ht="24.95" customHeight="1">
      <c r="A9" s="18">
        <v>3</v>
      </c>
      <c r="B9" s="27" t="s">
        <v>109</v>
      </c>
      <c r="C9" s="40">
        <v>94</v>
      </c>
      <c r="D9" s="40">
        <v>165</v>
      </c>
      <c r="E9" s="19">
        <f t="shared" si="4"/>
        <v>71</v>
      </c>
      <c r="F9" s="42">
        <f t="shared" si="5"/>
        <v>1.7553191489361701</v>
      </c>
      <c r="G9" s="40">
        <v>1159</v>
      </c>
      <c r="H9" s="40">
        <v>1131</v>
      </c>
      <c r="I9" s="19">
        <f t="shared" si="2"/>
        <v>-28</v>
      </c>
      <c r="J9" s="42">
        <f t="shared" si="3"/>
        <v>0.97584124245038828</v>
      </c>
    </row>
    <row r="10" spans="1:15" ht="24.95" customHeight="1">
      <c r="A10" s="18">
        <v>4</v>
      </c>
      <c r="B10" s="27" t="s">
        <v>146</v>
      </c>
      <c r="C10" s="40"/>
      <c r="D10" s="40"/>
      <c r="E10" s="19" t="str">
        <f t="shared" si="4"/>
        <v/>
      </c>
      <c r="F10" s="42" t="str">
        <f t="shared" si="5"/>
        <v/>
      </c>
      <c r="G10" s="40"/>
      <c r="H10" s="40"/>
      <c r="I10" s="19" t="str">
        <f t="shared" si="2"/>
        <v/>
      </c>
      <c r="J10" s="42" t="str">
        <f t="shared" si="3"/>
        <v/>
      </c>
    </row>
    <row r="11" spans="1:15" ht="24.95" customHeight="1">
      <c r="A11" s="18">
        <v>5</v>
      </c>
      <c r="B11" s="33" t="s">
        <v>110</v>
      </c>
      <c r="C11" s="40">
        <v>75</v>
      </c>
      <c r="D11" s="40">
        <v>127</v>
      </c>
      <c r="E11" s="19">
        <f t="shared" si="4"/>
        <v>52</v>
      </c>
      <c r="F11" s="42">
        <f t="shared" si="5"/>
        <v>1.6933333333333334</v>
      </c>
      <c r="G11" s="40">
        <v>576</v>
      </c>
      <c r="H11" s="40">
        <v>689</v>
      </c>
      <c r="I11" s="19">
        <f t="shared" si="2"/>
        <v>113</v>
      </c>
      <c r="J11" s="42">
        <f t="shared" si="3"/>
        <v>1.1961805555555556</v>
      </c>
    </row>
    <row r="12" spans="1:15" ht="24.95" customHeight="1">
      <c r="A12" s="18">
        <v>6</v>
      </c>
      <c r="B12" s="33" t="s">
        <v>111</v>
      </c>
      <c r="C12" s="40">
        <v>19</v>
      </c>
      <c r="D12" s="40">
        <v>38</v>
      </c>
      <c r="E12" s="19">
        <f t="shared" si="4"/>
        <v>19</v>
      </c>
      <c r="F12" s="42">
        <f t="shared" si="5"/>
        <v>2</v>
      </c>
      <c r="G12" s="40">
        <v>583</v>
      </c>
      <c r="H12" s="40">
        <v>442</v>
      </c>
      <c r="I12" s="19">
        <f t="shared" si="2"/>
        <v>-141</v>
      </c>
      <c r="J12" s="42">
        <f t="shared" si="3"/>
        <v>0.758147512864494</v>
      </c>
    </row>
    <row r="13" spans="1:15" ht="24.95" customHeight="1">
      <c r="A13" s="18">
        <v>7</v>
      </c>
      <c r="B13" s="27" t="s">
        <v>112</v>
      </c>
      <c r="C13" s="40"/>
      <c r="D13" s="40"/>
      <c r="E13" s="19" t="str">
        <f t="shared" si="4"/>
        <v/>
      </c>
      <c r="F13" s="42" t="str">
        <f t="shared" si="5"/>
        <v/>
      </c>
      <c r="G13" s="40"/>
      <c r="H13" s="40"/>
      <c r="I13" s="19" t="str">
        <f t="shared" si="2"/>
        <v/>
      </c>
      <c r="J13" s="42" t="str">
        <f t="shared" si="3"/>
        <v/>
      </c>
    </row>
    <row r="14" spans="1:15" ht="24.95" customHeight="1">
      <c r="A14" s="18">
        <v>8</v>
      </c>
      <c r="B14" s="27" t="s">
        <v>77</v>
      </c>
      <c r="C14" s="40">
        <v>19</v>
      </c>
      <c r="D14" s="40">
        <v>11</v>
      </c>
      <c r="E14" s="19">
        <f t="shared" si="4"/>
        <v>-8</v>
      </c>
      <c r="F14" s="42">
        <f t="shared" si="5"/>
        <v>0.57894736842105265</v>
      </c>
      <c r="G14" s="40">
        <v>169</v>
      </c>
      <c r="H14" s="40">
        <v>64</v>
      </c>
      <c r="I14" s="19">
        <f t="shared" si="2"/>
        <v>-105</v>
      </c>
      <c r="J14" s="42">
        <f t="shared" si="3"/>
        <v>0.378698224852071</v>
      </c>
    </row>
    <row r="15" spans="1:15" ht="24.95" customHeight="1">
      <c r="A15" s="18">
        <v>9</v>
      </c>
      <c r="B15" s="27" t="s">
        <v>28</v>
      </c>
      <c r="C15" s="40">
        <f>C7+C8+C9+C14</f>
        <v>154</v>
      </c>
      <c r="D15" s="40">
        <f>D7+D8+D9+D14</f>
        <v>350</v>
      </c>
      <c r="E15" s="19">
        <f t="shared" si="4"/>
        <v>196</v>
      </c>
      <c r="F15" s="42">
        <f t="shared" si="5"/>
        <v>2.2727272727272729</v>
      </c>
      <c r="G15" s="40">
        <f>G7+G8+G9+G14</f>
        <v>1967</v>
      </c>
      <c r="H15" s="40">
        <f>H7+H8+H9+H14</f>
        <v>2398</v>
      </c>
      <c r="I15" s="19">
        <f t="shared" si="2"/>
        <v>431</v>
      </c>
      <c r="J15" s="42">
        <f t="shared" si="3"/>
        <v>1.2191154041687851</v>
      </c>
    </row>
  </sheetData>
  <sheetProtection algorithmName="SHA-512" hashValue="NhR+9a59Gf5L+7C3RkbnTdfdeRX+roJuAWOPEX6c2qEn3O8yEpvgMZy/mzX68Kwmqt6vYYMQhzrcFxVAXlnaDA==" saltValue="WcrbJcHirXhhrZMsMJC0uA==" spinCount="100000" sheet="1" objects="1" scenarios="1"/>
  <mergeCells count="4">
    <mergeCell ref="E4:F4"/>
    <mergeCell ref="I4:J4"/>
    <mergeCell ref="A1:I3"/>
    <mergeCell ref="J2:J3"/>
  </mergeCells>
  <pageMargins left="0.7" right="0.7" top="0.75" bottom="0.75" header="0.3" footer="0.3"/>
  <pageSetup paperSize="9"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500E3-2D6A-4407-BFE1-67B81AFA6CF6}">
  <sheetPr>
    <pageSetUpPr fitToPage="1"/>
  </sheetPr>
  <dimension ref="A1:O9"/>
  <sheetViews>
    <sheetView topLeftCell="D1" zoomScale="85" zoomScaleNormal="85" workbookViewId="0">
      <selection activeCell="J2" sqref="J2:J3"/>
    </sheetView>
  </sheetViews>
  <sheetFormatPr defaultRowHeight="15"/>
  <cols>
    <col min="1" max="1" width="4.7109375" style="74" customWidth="1"/>
    <col min="2" max="2" width="34" customWidth="1"/>
    <col min="3" max="10" width="15.7109375" customWidth="1"/>
  </cols>
  <sheetData>
    <row r="1" spans="1:15" ht="15" customHeight="1">
      <c r="A1" s="140" t="s">
        <v>270</v>
      </c>
      <c r="B1" s="140"/>
      <c r="C1" s="140"/>
      <c r="D1" s="140"/>
      <c r="E1" s="140"/>
      <c r="F1" s="140"/>
      <c r="G1" s="140"/>
      <c r="H1" s="140"/>
      <c r="I1" s="140"/>
      <c r="J1" s="68" t="s">
        <v>14</v>
      </c>
      <c r="K1" s="6"/>
      <c r="L1" s="6"/>
      <c r="M1" s="6"/>
      <c r="N1" s="6"/>
      <c r="O1" s="1"/>
    </row>
    <row r="2" spans="1:15" ht="15" customHeight="1">
      <c r="A2" s="140"/>
      <c r="B2" s="140"/>
      <c r="C2" s="140"/>
      <c r="D2" s="140"/>
      <c r="E2" s="140"/>
      <c r="F2" s="140"/>
      <c r="G2" s="140"/>
      <c r="H2" s="140"/>
      <c r="I2" s="140"/>
      <c r="J2" s="172" t="s">
        <v>312</v>
      </c>
      <c r="K2" s="6"/>
      <c r="L2" s="6"/>
      <c r="M2" s="6"/>
      <c r="N2" s="6"/>
      <c r="O2" s="1"/>
    </row>
    <row r="3" spans="1:15" ht="15" customHeight="1">
      <c r="A3" s="139"/>
      <c r="B3" s="139"/>
      <c r="C3" s="139"/>
      <c r="D3" s="139"/>
      <c r="E3" s="139"/>
      <c r="F3" s="139"/>
      <c r="G3" s="139"/>
      <c r="H3" s="139"/>
      <c r="I3" s="139"/>
      <c r="J3" s="155"/>
      <c r="K3" s="1"/>
    </row>
    <row r="4" spans="1:15" ht="50.1" customHeight="1">
      <c r="A4" s="18"/>
      <c r="B4" s="49" t="s">
        <v>0</v>
      </c>
      <c r="C4" s="49" t="str">
        <f>"Факт " &amp; J2 &amp; " 2023 г"</f>
        <v>Факт Сенябрь 2023 г</v>
      </c>
      <c r="D4" s="49" t="str">
        <f xml:space="preserve"> "Факт " &amp; J2 &amp; " 2024 г"</f>
        <v>Факт Сенябрь 2024 г</v>
      </c>
      <c r="E4" s="147" t="s">
        <v>254</v>
      </c>
      <c r="F4" s="148"/>
      <c r="G4" s="49" t="str">
        <f xml:space="preserve"> "Факт Январь -" &amp; J2 &amp; " 2023 г"</f>
        <v>Факт Январь -Сенябрь 2023 г</v>
      </c>
      <c r="H4" s="49" t="str">
        <f xml:space="preserve"> "Факт Январь -" &amp; J2 &amp; " 2024 г"</f>
        <v>Факт Январь -Сенябрь 2024 г</v>
      </c>
      <c r="I4" s="147" t="s">
        <v>252</v>
      </c>
      <c r="J4" s="148"/>
    </row>
    <row r="5" spans="1:15" ht="15" customHeight="1">
      <c r="A5" s="80"/>
      <c r="B5" s="64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18" t="s">
        <v>1</v>
      </c>
      <c r="B6" s="49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ht="24.95" customHeight="1">
      <c r="A7" s="18">
        <v>1</v>
      </c>
      <c r="B7" s="29" t="s">
        <v>113</v>
      </c>
      <c r="C7" s="40">
        <v>0</v>
      </c>
      <c r="D7" s="40">
        <v>0</v>
      </c>
      <c r="E7" s="19" t="str">
        <f t="shared" ref="E7" si="0">IF(AND(C7=0,D7=0),"",IFERROR(IF(OR(D7=0,D7=""),-C7,D7-C7),""))</f>
        <v/>
      </c>
      <c r="F7" s="42" t="str">
        <f t="shared" ref="F7" si="1">IF(AND(D7=0,C7=0),"",IFERROR(IF(C7=0, D7, D7/C7),""))</f>
        <v/>
      </c>
      <c r="G7" s="40">
        <v>0</v>
      </c>
      <c r="H7" s="40">
        <v>0</v>
      </c>
      <c r="I7" s="19" t="str">
        <f t="shared" ref="I7:I9" si="2">IF(AND(G7=0,H7=0),"",IFERROR(IF(OR(H7=0,H7=""),-G7,H7-G7),""))</f>
        <v/>
      </c>
      <c r="J7" s="42" t="str">
        <f t="shared" ref="J7:J9" si="3">IF(AND(H7=0,G7=0),"",IFERROR(IF(G7=0, H7, H7/G7),""))</f>
        <v/>
      </c>
    </row>
    <row r="8" spans="1:15" ht="24.95" customHeight="1">
      <c r="A8" s="18">
        <v>2</v>
      </c>
      <c r="B8" s="15" t="s">
        <v>114</v>
      </c>
      <c r="C8" s="40">
        <v>0</v>
      </c>
      <c r="D8" s="40">
        <v>0</v>
      </c>
      <c r="E8" s="19" t="str">
        <f t="shared" ref="E8:E9" si="4">IF(AND(C8=0,D8=0),"",IFERROR(IF(OR(D8=0,D8=""),-C8,D8-C8),""))</f>
        <v/>
      </c>
      <c r="F8" s="42" t="str">
        <f t="shared" ref="F8:F9" si="5">IF(AND(D8=0,C8=0),"",IFERROR(IF(C8=0, D8, D8/C8),""))</f>
        <v/>
      </c>
      <c r="G8" s="40">
        <v>0</v>
      </c>
      <c r="H8" s="40">
        <v>0</v>
      </c>
      <c r="I8" s="19" t="str">
        <f t="shared" si="2"/>
        <v/>
      </c>
      <c r="J8" s="42" t="str">
        <f t="shared" si="3"/>
        <v/>
      </c>
    </row>
    <row r="9" spans="1:15" ht="24.95" customHeight="1">
      <c r="A9" s="18">
        <v>3</v>
      </c>
      <c r="B9" s="15" t="s">
        <v>115</v>
      </c>
      <c r="C9" s="40">
        <v>0</v>
      </c>
      <c r="D9" s="40">
        <v>0</v>
      </c>
      <c r="E9" s="19" t="str">
        <f t="shared" si="4"/>
        <v/>
      </c>
      <c r="F9" s="42" t="str">
        <f t="shared" si="5"/>
        <v/>
      </c>
      <c r="G9" s="40">
        <v>0</v>
      </c>
      <c r="H9" s="40">
        <v>3</v>
      </c>
      <c r="I9" s="19">
        <f t="shared" si="2"/>
        <v>3</v>
      </c>
      <c r="J9" s="42">
        <f t="shared" si="3"/>
        <v>3</v>
      </c>
    </row>
  </sheetData>
  <sheetProtection algorithmName="SHA-512" hashValue="0eO7ICoc2VJHluoBE16MKv8Rbny4c5pRDmGwyAy8aMzthpqzXXHLbcKBy4GVnioX/BQYVQcCWaUhNKej3pFfjw==" saltValue="bYR9eMy4r0FXUv96OdKkxA==" spinCount="100000" sheet="1" objects="1" scenarios="1"/>
  <mergeCells count="4">
    <mergeCell ref="E4:F4"/>
    <mergeCell ref="I4:J4"/>
    <mergeCell ref="A1:I3"/>
    <mergeCell ref="J2:J3"/>
  </mergeCells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81035-6561-46B0-BD0E-5C04EFA2AE13}">
  <dimension ref="A1:A70"/>
  <sheetViews>
    <sheetView workbookViewId="0">
      <selection activeCell="A29" sqref="A29"/>
    </sheetView>
  </sheetViews>
  <sheetFormatPr defaultRowHeight="15"/>
  <cols>
    <col min="1" max="1" width="106.140625" customWidth="1"/>
  </cols>
  <sheetData>
    <row r="1" spans="1:1" s="50" customFormat="1" ht="20.25">
      <c r="A1" s="94" t="s">
        <v>242</v>
      </c>
    </row>
    <row r="2" spans="1:1" s="50" customFormat="1" ht="15" customHeight="1">
      <c r="A2" s="95" t="s">
        <v>175</v>
      </c>
    </row>
    <row r="3" spans="1:1" s="50" customFormat="1" ht="15" customHeight="1">
      <c r="A3" s="95" t="s">
        <v>176</v>
      </c>
    </row>
    <row r="4" spans="1:1" s="50" customFormat="1" ht="15" customHeight="1">
      <c r="A4" s="95" t="s">
        <v>177</v>
      </c>
    </row>
    <row r="5" spans="1:1" s="50" customFormat="1" ht="15" customHeight="1">
      <c r="A5" s="95" t="s">
        <v>178</v>
      </c>
    </row>
    <row r="6" spans="1:1" s="50" customFormat="1" ht="15" customHeight="1">
      <c r="A6" s="95" t="s">
        <v>179</v>
      </c>
    </row>
    <row r="7" spans="1:1" s="50" customFormat="1" ht="15" customHeight="1">
      <c r="A7" s="95" t="s">
        <v>180</v>
      </c>
    </row>
    <row r="8" spans="1:1" s="50" customFormat="1" ht="15" customHeight="1">
      <c r="A8" s="95" t="s">
        <v>181</v>
      </c>
    </row>
    <row r="9" spans="1:1" s="50" customFormat="1" ht="15" customHeight="1">
      <c r="A9" s="95" t="s">
        <v>182</v>
      </c>
    </row>
    <row r="10" spans="1:1" s="50" customFormat="1" ht="15" customHeight="1">
      <c r="A10" s="95" t="s">
        <v>183</v>
      </c>
    </row>
    <row r="11" spans="1:1" s="50" customFormat="1" ht="15" customHeight="1">
      <c r="A11" s="95" t="s">
        <v>184</v>
      </c>
    </row>
    <row r="12" spans="1:1" s="50" customFormat="1" ht="15" customHeight="1">
      <c r="A12" s="95" t="s">
        <v>185</v>
      </c>
    </row>
    <row r="13" spans="1:1" s="50" customFormat="1" ht="15" customHeight="1">
      <c r="A13" s="95" t="s">
        <v>186</v>
      </c>
    </row>
    <row r="14" spans="1:1" s="50" customFormat="1" ht="15" customHeight="1">
      <c r="A14" s="95" t="s">
        <v>187</v>
      </c>
    </row>
    <row r="15" spans="1:1" s="50" customFormat="1" ht="15" customHeight="1">
      <c r="A15" s="95" t="s">
        <v>188</v>
      </c>
    </row>
    <row r="16" spans="1:1" s="50" customFormat="1" ht="15" customHeight="1">
      <c r="A16" s="95" t="s">
        <v>189</v>
      </c>
    </row>
    <row r="17" spans="1:1" s="50" customFormat="1" ht="15" customHeight="1">
      <c r="A17" s="95" t="s">
        <v>190</v>
      </c>
    </row>
    <row r="18" spans="1:1" s="50" customFormat="1" ht="15" customHeight="1">
      <c r="A18" s="95" t="s">
        <v>191</v>
      </c>
    </row>
    <row r="19" spans="1:1" s="50" customFormat="1" ht="15" customHeight="1">
      <c r="A19" s="95" t="s">
        <v>192</v>
      </c>
    </row>
    <row r="20" spans="1:1" s="50" customFormat="1" ht="15" customHeight="1">
      <c r="A20" s="108" t="s">
        <v>303</v>
      </c>
    </row>
    <row r="21" spans="1:1" s="50" customFormat="1" ht="15" customHeight="1">
      <c r="A21" s="95" t="s">
        <v>193</v>
      </c>
    </row>
    <row r="22" spans="1:1" s="50" customFormat="1" ht="15" customHeight="1">
      <c r="A22" s="95" t="s">
        <v>194</v>
      </c>
    </row>
    <row r="23" spans="1:1" s="50" customFormat="1" ht="15" customHeight="1">
      <c r="A23" s="95" t="s">
        <v>195</v>
      </c>
    </row>
    <row r="24" spans="1:1" s="50" customFormat="1" ht="15" customHeight="1">
      <c r="A24" s="95" t="s">
        <v>196</v>
      </c>
    </row>
    <row r="25" spans="1:1" s="50" customFormat="1" ht="15" customHeight="1">
      <c r="A25" s="95" t="s">
        <v>197</v>
      </c>
    </row>
    <row r="26" spans="1:1" s="50" customFormat="1" ht="15" customHeight="1">
      <c r="A26" s="95" t="s">
        <v>198</v>
      </c>
    </row>
    <row r="27" spans="1:1" s="50" customFormat="1" ht="15" customHeight="1">
      <c r="A27" s="95" t="s">
        <v>199</v>
      </c>
    </row>
    <row r="28" spans="1:1" s="50" customFormat="1" ht="15" customHeight="1">
      <c r="A28" s="95" t="s">
        <v>200</v>
      </c>
    </row>
    <row r="29" spans="1:1" s="50" customFormat="1" ht="15" customHeight="1">
      <c r="A29" s="95" t="s">
        <v>201</v>
      </c>
    </row>
    <row r="30" spans="1:1" s="50" customFormat="1" ht="15" customHeight="1">
      <c r="A30" s="95" t="s">
        <v>202</v>
      </c>
    </row>
    <row r="31" spans="1:1" s="50" customFormat="1" ht="15" customHeight="1">
      <c r="A31" s="95" t="s">
        <v>203</v>
      </c>
    </row>
    <row r="32" spans="1:1" s="50" customFormat="1" ht="15" customHeight="1">
      <c r="A32" s="95" t="s">
        <v>204</v>
      </c>
    </row>
    <row r="33" spans="1:1" s="50" customFormat="1" ht="15" customHeight="1">
      <c r="A33" s="95" t="s">
        <v>205</v>
      </c>
    </row>
    <row r="34" spans="1:1" s="50" customFormat="1" ht="15" customHeight="1">
      <c r="A34" s="95" t="s">
        <v>206</v>
      </c>
    </row>
    <row r="35" spans="1:1" s="50" customFormat="1" ht="15" customHeight="1">
      <c r="A35" s="95" t="s">
        <v>232</v>
      </c>
    </row>
    <row r="36" spans="1:1" s="50" customFormat="1" ht="15" customHeight="1">
      <c r="A36" s="95" t="s">
        <v>233</v>
      </c>
    </row>
    <row r="37" spans="1:1" s="50" customFormat="1" ht="15" customHeight="1">
      <c r="A37" s="95" t="s">
        <v>207</v>
      </c>
    </row>
    <row r="38" spans="1:1" s="50" customFormat="1" ht="15" customHeight="1">
      <c r="A38" s="95" t="s">
        <v>234</v>
      </c>
    </row>
    <row r="39" spans="1:1" s="50" customFormat="1" ht="15" customHeight="1">
      <c r="A39" s="95" t="s">
        <v>208</v>
      </c>
    </row>
    <row r="40" spans="1:1" s="50" customFormat="1" ht="15" customHeight="1">
      <c r="A40" s="95" t="s">
        <v>235</v>
      </c>
    </row>
    <row r="41" spans="1:1" s="50" customFormat="1" ht="15" customHeight="1">
      <c r="A41" s="95" t="s">
        <v>209</v>
      </c>
    </row>
    <row r="42" spans="1:1" s="50" customFormat="1" ht="15" customHeight="1">
      <c r="A42" s="95" t="s">
        <v>236</v>
      </c>
    </row>
    <row r="43" spans="1:1" s="50" customFormat="1" ht="15" customHeight="1">
      <c r="A43" s="95" t="s">
        <v>210</v>
      </c>
    </row>
    <row r="44" spans="1:1" s="50" customFormat="1" ht="15" customHeight="1">
      <c r="A44" s="95" t="s">
        <v>237</v>
      </c>
    </row>
    <row r="45" spans="1:1" s="50" customFormat="1" ht="12.75"/>
    <row r="46" spans="1:1" s="50" customFormat="1" ht="12.75"/>
    <row r="47" spans="1:1" s="50" customFormat="1" ht="12.75"/>
    <row r="48" spans="1:1" s="50" customFormat="1" ht="12.75"/>
    <row r="49" s="50" customFormat="1" ht="12.75"/>
    <row r="50" s="50" customFormat="1" ht="12.75"/>
    <row r="51" s="50" customFormat="1" ht="12.75"/>
    <row r="52" s="50" customFormat="1" ht="12.75"/>
    <row r="53" s="50" customFormat="1" ht="12.75"/>
    <row r="54" s="50" customFormat="1" ht="12.75"/>
    <row r="55" s="50" customFormat="1" ht="12.75"/>
    <row r="56" s="50" customFormat="1" ht="12.75"/>
    <row r="57" s="50" customFormat="1" ht="12.75"/>
    <row r="58" s="50" customFormat="1" ht="12.75"/>
    <row r="59" s="50" customFormat="1" ht="12.75"/>
    <row r="60" s="50" customFormat="1" ht="12.75"/>
    <row r="61" s="50" customFormat="1" ht="12.75"/>
    <row r="62" s="50" customFormat="1" ht="12.75"/>
    <row r="63" s="50" customFormat="1" ht="12.75"/>
    <row r="64" s="50" customFormat="1" ht="12.75"/>
    <row r="65" s="50" customFormat="1" ht="12.75"/>
    <row r="66" s="50" customFormat="1" ht="12.75"/>
    <row r="67" s="50" customFormat="1" ht="12.75"/>
    <row r="68" s="50" customFormat="1" ht="12.75"/>
    <row r="69" s="50" customFormat="1" ht="12.75"/>
    <row r="70" s="50" customFormat="1" ht="12.75"/>
  </sheetData>
  <hyperlinks>
    <hyperlink ref="A2" location="'Вводные положения'!A1" display="ВВОДНЫЕ ПОЛОЖЕНИЯ" xr:uid="{A559AFC0-F662-4B57-8EE2-6A1E9D6F30C9}"/>
    <hyperlink ref="A3" location="'Вводные положения'!A2" display="Введение" xr:uid="{2EF376F5-9A6D-432C-A8BF-E2CBBB70AB50}"/>
    <hyperlink ref="A4" location="'Вводные положения'!A4" display="Цель" xr:uid="{3FA20C4F-E179-4C68-B5AB-C3B794DBED69}"/>
    <hyperlink ref="A5" location="'Вводные положения'!A6" display="Задачи" xr:uid="{E267AC08-DF77-49AE-ABBB-B805E6AD6B74}"/>
    <hyperlink ref="A6" location="'Вводные положения'!A12" display="Область применения" xr:uid="{111E2016-55CC-4765-9D42-FD36DB5D00C1}"/>
    <hyperlink ref="A7" location="'Вводные положения'!A15" display="Сроки предоставления отчетности" xr:uid="{0FED14A3-A44A-4A51-96B8-B0BA5BD69841}"/>
    <hyperlink ref="A8" location="'Вводные положения'!A19" display="Способы предоставления статистических форм" xr:uid="{497AAA14-6030-4EA1-9F00-F4461BD8C3F9}"/>
    <hyperlink ref="A9" location="'Вводные положения'!A21" display="Ответственность за предоставление отчетности" xr:uid="{A4C0C697-59EB-45D1-A266-3E09181B5967}"/>
    <hyperlink ref="A10" location="'Вводные положения'!A25" display="Порядок внесения изменений и дополнений" xr:uid="{7F051624-D8AD-4249-AF3B-44E6386F7929}"/>
    <hyperlink ref="A11" location="'Вводные положения'!A31" display="Порядок вступления в силу" xr:uid="{51D3BAC7-E9D5-4A4B-A294-F64FC5B8442D}"/>
    <hyperlink ref="A12" location="'Таблица 1.1.1'!A1" display="1. УПРАВЛЕНИЕ АРХИТЕКТУРЫ" xr:uid="{27FB5A8E-8D73-4FA9-8AC8-F0A67D73C4A7}"/>
    <hyperlink ref="A13" location="'Таблица 1.1.1'!A2" display="1.1. Государственный архитектурно-строительный контроль" xr:uid="{9D9728D3-5CC0-4B14-B814-5CFB6651F89F}"/>
    <hyperlink ref="A14" location="'Таблица 1.1.1'!A1" display="Таблица 1.1.1. СТАТИСТИКА ВЫЯВЛЕНИЯ САМОВОЛЬНОГО СТРОИТЕЛЬСТВА ПО КАТЕГОРИЯМ И ОБЛАСТЯМ" xr:uid="{9ECBD040-09B5-4071-AE80-DB5F68D73C42}"/>
    <hyperlink ref="A15" location="'Таблица 1.1.2. '!A1" display="Таблица 1.1.2. СТАТИСТИКА ПО РЕЕСТРУ СТРОЯЩИХСЯ ОБЪЕКТОВ" xr:uid="{3E5FDB66-FBBC-4A79-BAFF-2F7D1A066C61}"/>
    <hyperlink ref="A16" location="'Таблица 1.1.3'!A1" display="Таблица 1.1.3. СТАТИСТИКА ПО ОЦЕНКЕ СООТВЕТСТВИЯ ВВОДИМЫХ В ЭКСПЛУАТАЦИЮ ОБЪЕКТОВ" xr:uid="{3A7DEC00-25A4-4430-AED6-1A1E8D6CB667}"/>
    <hyperlink ref="A17" location="'Таблица 1.2.1'!A1" display="1.2. Департамент градостроительства и архитектуры" xr:uid="{C17903A3-448B-4BC7-AA07-8FF5B3C83B67}"/>
    <hyperlink ref="A18" location="'Таблица 1.2.1'!A1" display="Таблица 1.2.1. СТАТИСТИКА ПО РАЗРАБОТКЕ ГРАДОСТРОИТЕЛЬНЫХ ЗАКЛЮЧЕНИЙ" xr:uid="{A37D96B3-5E59-454D-94D7-2C1503144042}"/>
    <hyperlink ref="A22" location="'Таблица 1.3.1'!A1" display="Таблица 1.3.1. СТАТИСТИКА ПО ЭКСПЕРТИЗЕ ПРОЕКТНОЙ ДОКУМЕНТАЦИИ" xr:uid="{87A1F77C-1CEF-44F9-A6E7-14ABB49C6E8E}"/>
    <hyperlink ref="A23" location="'Таблица 2.1.1'!A1" display="2. УПРАВЛЕНИЕ СТРОИТЕЛЬСТВА" xr:uid="{9384B873-25A0-40DC-9B72-67ED144A3827}"/>
    <hyperlink ref="A24" location="'Таблица 2.1.1'!A1" display="2.1. Департамент Жилищно-Гражданского Строительства" xr:uid="{44B86BAD-CA4E-4F8A-86F8-3AD59677C1AC}"/>
    <hyperlink ref="A25" location="'Таблица 2.1.1'!A1" display="Таблица 2.1.1. СТАТИСТИКА ОБЪЕКТОВ СТРОИТЕЛЬСТВА ПО ОБЛАСТЯМ И ОТРАСЛЯМ" xr:uid="{F7AC03A8-8796-46D9-86C1-5B9D2EFD4788}"/>
    <hyperlink ref="A26" location="'Таблица 2.1.2'!A1" display="Таблица 2.1.2. СТАТИСТИКА КАПИТАЛЬНОГО РЕМОНТА ПО ОБЛАСТЯМ И ОТРАСЛЯМ" xr:uid="{FA8381D3-7F17-4EBA-A354-EBA264E8ECCE}"/>
    <hyperlink ref="A27" location="'Таблица 2.2.1. '!A1" display="2.2. Республиканский центр сертификации в строительстве" xr:uid="{F1273AA9-DD59-4D6E-8B8A-909E7DAA7411}"/>
    <hyperlink ref="A28" location="'Таблица 2.2.1. '!A1" display="Таблица 2.2.1. СТАТИСТИКА СЕРТИФИКАЦИИ СТРОИТЕЛЬНЫХ МАТЕРИАЛОВ, ИЗДЕЛИЙ И КОНСТРУКЦИЙ" xr:uid="{05B5984A-E677-4355-BABC-21EB03605D70}"/>
    <hyperlink ref="A29" location="'Таблица 2.3.1. '!A1" display="2.3. Государственный институт сейсмостойкого строительства и инженерного проектирования" xr:uid="{CEDB67DE-FF77-4F86-9BB9-7ABA44FEAB1B}"/>
    <hyperlink ref="A30" location="'Таблица 2.3.1. '!A1" display="Таблица 2.3.1. СТАТИСТИКА ВЫДАЧИ ТЕХНИЧЕСКИХ ЗАКЛЮЧЕНИЙ" xr:uid="{9D133830-D592-400E-BA20-B1355767EE6F}"/>
    <hyperlink ref="A31" location="'Таблица 3.1'!A1" display="3. УПРАВЛЕНИЕ ЧЕЛОВЕЧЕСКИМИ РЕСУРСАМИ" xr:uid="{61E44A95-D1AF-4AF7-BE96-A9513DF4496C}"/>
    <hyperlink ref="A32" location="'Таблица 3.1'!A1" display="Таблица 3.1. СТАТИСТИКА ПО ОБРАЩЕНИЯМ ГРАЖДАН" xr:uid="{7AED18E3-6DE9-4BE4-8F70-56264611EF87}"/>
    <hyperlink ref="A33" location="'Таблица 3.2.  '!A1" display="Таблица 3.2.  СТАТИСТИКА ПО ВХОДЯЩЕЙ КОРРЕСПОНДЕНЦИИ" xr:uid="{A48B0604-20B4-4C46-B9B3-A0406B536F40}"/>
    <hyperlink ref="A34" location="'Таблица 5.1'!A1" display="4. УПРАВЛЕНИЕ ЛИЦЕНЗИРОВАНИЯ И СЕРТИФИКАЦИИ" xr:uid="{1A56EF37-1D71-4580-A3E5-21092E50CC2B}"/>
    <hyperlink ref="A35" location="'Таблица 4.1'!A1" display="Таблица 5.1. СТАТИСТИКА ЛИЦЕНЗИРОВАНИЯ СТРОИТЕЛЬНОЙ ДЕЯТЕЛЬНОСТИ" xr:uid="{EB1A1159-255D-4BBC-BBF1-87B6EC1A1161}"/>
    <hyperlink ref="A36" location="'Таблица 4.2'!A1" display="Таблица 5.2. СТАТИСТИКА ПО СЕРТИФИКАЦИИ СПЕЦИАЛИСТОВ СТРОИТЕЛЬНОЙ ОТРАСЛИ" xr:uid="{99942244-B491-4940-BE06-4B29F2BFC493}"/>
    <hyperlink ref="A37" location="'Таблица 5.1. '!A1" display="5. ОТДЕЛ ИНВЕСТИЦИЙ И ВНЕШНИХ СВЯЗЕЙ" xr:uid="{9628884F-E91F-4ECD-B130-E276C1D2FBC1}"/>
    <hyperlink ref="A38" location="'Таблица 5.1. '!A1" display="Таблица 6.1. СТАТИСТИКА ПО ИНВЕСТИЦИОННЫМ ПРОЕКТАМ ПО МЕСЯЦАМ" xr:uid="{6975DA2B-00DF-4C91-9843-06BB980EC965}"/>
    <hyperlink ref="A39" location="'Таблица 6.1'!A1" display="6. ОТДЕЛ ЦИФРОВОГО РАЗВИТИЯ И ОРГАНИЗАЦИОННО-АНАЛИТИЧЕСКОЙ РАБОТЫ" xr:uid="{B348A85F-8342-4AE7-9006-2D98B4D111B4}"/>
    <hyperlink ref="A40" location="'Таблица 6.1'!A1" display="Таблица 7.1. СТАТИСТИКА ПО ОСНАЩЕННОСТИ КОМПЬЮТЕРНОЙ ТЕХНИКОЙ" xr:uid="{5D5F973B-6DC2-432D-8328-968A71B7C577}"/>
    <hyperlink ref="A41" location="'Таблица 7.1'!A1" display="7. ЮРИДИЧЕСКИЙ ОТДЕЛ" xr:uid="{8AF3384D-3506-4688-8AAC-8D8B7D915187}"/>
    <hyperlink ref="A42" location="'Таблица 7.1'!A1" display="Таблица 8.1. СТАТИСТИКА ДЕЯТЕЛЬНОСТИ ЮРИДИЧЕСКОГО ОТДЕЛА" xr:uid="{BE9F62C7-DE68-4D3E-B2B3-A670F18249A4}"/>
    <hyperlink ref="A43" location="'Таблица 8.1'!A1" display="8. ПРЕСС-СЛУЖБА" xr:uid="{E703556B-9A3E-4522-8713-E81725FC218C}"/>
    <hyperlink ref="A44" location="'Таблица 8.1'!A1" display="Таблица 9.1. СТАТИСТИКА ДЕЯТЕЛЬНОСТИ ПРЕСС-СЛУЖБЫ" xr:uid="{05714B5F-C775-43B7-A198-6007A6AF0B80}"/>
    <hyperlink ref="A21" location="'Таблица 1.3.1'!A1" display="1.3. Департамент государственной экспертизы" xr:uid="{2DF9ED4E-5955-453E-B335-59FCB8FAB6F5}"/>
    <hyperlink ref="A19" location="'Таблица 1.2.2'!A1" display="Таблица 1.2.2. СТАТИСТИКА РАЗРАБОТКИ И ПОДГОТОВКИ ГЕНЕРАЛЬНЫХ ПЛАНОВ НАСЕЛЕННЫХ ПУНКТОВ" xr:uid="{AE1D7DBB-114C-47C4-B2DE-D8272D035786}"/>
    <hyperlink ref="A20" location="'Таблица 1.2.3 '!A1" display="Таблица 1.2.3. СТАТИСТИКА РАЗРАБОТАННЫХ И ПОДГОТОВЛЕННЫХ ГЕНЕРАЛЬНЫХ ПЛАНОВ " xr:uid="{7A1F667D-9357-4C5B-AD56-DFE5A4311E4B}"/>
  </hyperlink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B3FF-BED1-4BDF-A742-775CA97B2598}">
  <sheetPr>
    <pageSetUpPr fitToPage="1"/>
  </sheetPr>
  <dimension ref="A1:Q15"/>
  <sheetViews>
    <sheetView zoomScale="70" zoomScaleNormal="70" workbookViewId="0">
      <selection activeCell="H22" sqref="H21:H22"/>
    </sheetView>
  </sheetViews>
  <sheetFormatPr defaultRowHeight="15"/>
  <cols>
    <col min="1" max="1" width="3.7109375" customWidth="1"/>
    <col min="2" max="2" width="21.42578125" customWidth="1"/>
    <col min="3" max="16" width="15.7109375" customWidth="1"/>
    <col min="17" max="17" width="10.7109375" customWidth="1"/>
  </cols>
  <sheetData>
    <row r="1" spans="1:17" ht="15" customHeight="1">
      <c r="A1" s="175" t="s">
        <v>235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68" t="s">
        <v>14</v>
      </c>
      <c r="Q1" s="6"/>
    </row>
    <row r="2" spans="1:17" ht="15" customHeight="1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2" t="s">
        <v>301</v>
      </c>
      <c r="Q2" s="6"/>
    </row>
    <row r="3" spans="1:17" ht="15" customHeight="1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55"/>
      <c r="Q3" s="71"/>
    </row>
    <row r="4" spans="1:17" ht="37.5" customHeight="1">
      <c r="A4" s="180"/>
      <c r="B4" s="178" t="s">
        <v>0</v>
      </c>
      <c r="C4" s="136" t="s">
        <v>116</v>
      </c>
      <c r="D4" s="143"/>
      <c r="E4" s="147" t="s">
        <v>126</v>
      </c>
      <c r="F4" s="177"/>
      <c r="G4" s="148"/>
      <c r="H4" s="136" t="s">
        <v>117</v>
      </c>
      <c r="I4" s="143"/>
      <c r="J4" s="136" t="s">
        <v>118</v>
      </c>
      <c r="K4" s="143"/>
      <c r="L4" s="147" t="s">
        <v>119</v>
      </c>
      <c r="M4" s="177"/>
      <c r="N4" s="148"/>
      <c r="O4" s="137" t="s">
        <v>238</v>
      </c>
      <c r="P4" s="137"/>
    </row>
    <row r="5" spans="1:17" ht="68.25" customHeight="1">
      <c r="A5" s="181"/>
      <c r="B5" s="179"/>
      <c r="C5" s="65" t="str">
        <f>"Факт " &amp;$P2 &amp; " 2023 г"</f>
        <v>Факт Сентябрь 2023 г</v>
      </c>
      <c r="D5" s="65" t="str">
        <f>"Факт " &amp;$P2 &amp; " 2024 г"</f>
        <v>Факт Сентябрь 2024 г</v>
      </c>
      <c r="E5" s="34" t="s">
        <v>120</v>
      </c>
      <c r="F5" s="34" t="s">
        <v>121</v>
      </c>
      <c r="G5" s="34" t="s">
        <v>122</v>
      </c>
      <c r="H5" s="65" t="str">
        <f>"Факт " &amp;$P2 &amp; " 2023 г"</f>
        <v>Факт Сентябрь 2023 г</v>
      </c>
      <c r="I5" s="65" t="str">
        <f>"Факт " &amp;$P2 &amp; " 2024 г"</f>
        <v>Факт Сентябрь 2024 г</v>
      </c>
      <c r="J5" s="65" t="str">
        <f>"Факт " &amp;$P2 &amp; " 2023 г"</f>
        <v>Факт Сентябрь 2023 г</v>
      </c>
      <c r="K5" s="65" t="str">
        <f>"Факт " &amp;$P2 &amp; " 2024 г"</f>
        <v>Факт Сентябрь 2024 г</v>
      </c>
      <c r="L5" s="34" t="s">
        <v>123</v>
      </c>
      <c r="M5" s="34" t="s">
        <v>124</v>
      </c>
      <c r="N5" s="34" t="s">
        <v>125</v>
      </c>
      <c r="O5" s="66" t="str">
        <f>"Факт " &amp;$P2 &amp; " 2023 г"</f>
        <v>Факт Сентябрь 2023 г</v>
      </c>
      <c r="P5" s="66" t="str">
        <f>"Факт " &amp;$P2 &amp; " 2024 г"</f>
        <v>Факт Сентябрь 2024 г</v>
      </c>
    </row>
    <row r="6" spans="1:17" ht="15" customHeight="1">
      <c r="A6" s="19" t="s">
        <v>1</v>
      </c>
      <c r="B6" s="12" t="s">
        <v>12</v>
      </c>
      <c r="C6" s="17">
        <v>1</v>
      </c>
      <c r="D6" s="18">
        <v>2</v>
      </c>
      <c r="E6" s="12">
        <v>3</v>
      </c>
      <c r="F6" s="17">
        <v>4</v>
      </c>
      <c r="G6" s="18">
        <v>5</v>
      </c>
      <c r="H6" s="12">
        <v>6</v>
      </c>
      <c r="I6" s="17">
        <v>7</v>
      </c>
      <c r="J6" s="18">
        <v>8</v>
      </c>
      <c r="K6" s="12">
        <v>9</v>
      </c>
      <c r="L6" s="17">
        <v>10</v>
      </c>
      <c r="M6" s="18">
        <v>11</v>
      </c>
      <c r="N6" s="12">
        <v>12</v>
      </c>
      <c r="O6" s="17">
        <v>13</v>
      </c>
      <c r="P6" s="18">
        <v>14</v>
      </c>
    </row>
    <row r="7" spans="1:17" ht="36" customHeight="1">
      <c r="A7" s="19">
        <v>1</v>
      </c>
      <c r="B7" s="13" t="s">
        <v>305</v>
      </c>
      <c r="C7" s="113">
        <v>305</v>
      </c>
      <c r="D7" s="83">
        <v>119</v>
      </c>
      <c r="E7" s="14">
        <v>163</v>
      </c>
      <c r="F7" s="14">
        <v>6</v>
      </c>
      <c r="G7" s="14">
        <v>0</v>
      </c>
      <c r="H7" s="113">
        <v>1</v>
      </c>
      <c r="I7" s="83">
        <v>1</v>
      </c>
      <c r="J7" s="113">
        <v>117</v>
      </c>
      <c r="K7" s="83">
        <v>110</v>
      </c>
      <c r="L7" s="14">
        <v>58</v>
      </c>
      <c r="M7" s="14">
        <v>30</v>
      </c>
      <c r="N7" s="14">
        <v>43</v>
      </c>
      <c r="O7" s="113">
        <v>23</v>
      </c>
      <c r="P7" s="83">
        <v>16</v>
      </c>
    </row>
    <row r="8" spans="1:17" ht="41.25" customHeight="1">
      <c r="A8" s="19">
        <v>2</v>
      </c>
      <c r="B8" s="13" t="s">
        <v>306</v>
      </c>
      <c r="C8" s="83">
        <v>189</v>
      </c>
      <c r="D8" s="83">
        <v>211</v>
      </c>
      <c r="E8" s="14">
        <v>129</v>
      </c>
      <c r="F8" s="14">
        <v>10</v>
      </c>
      <c r="G8" s="14">
        <v>2</v>
      </c>
      <c r="H8" s="83">
        <v>3</v>
      </c>
      <c r="I8" s="83">
        <v>3</v>
      </c>
      <c r="J8" s="83">
        <v>77</v>
      </c>
      <c r="K8" s="83">
        <v>88</v>
      </c>
      <c r="L8" s="14">
        <v>25</v>
      </c>
      <c r="M8" s="14">
        <v>33</v>
      </c>
      <c r="N8" s="14">
        <v>29</v>
      </c>
      <c r="O8" s="83">
        <v>7</v>
      </c>
      <c r="P8" s="83">
        <v>9</v>
      </c>
    </row>
    <row r="9" spans="1:17" ht="46.5" customHeight="1">
      <c r="A9" s="19">
        <v>3</v>
      </c>
      <c r="B9" s="13" t="s">
        <v>307</v>
      </c>
      <c r="C9" s="83">
        <v>70</v>
      </c>
      <c r="D9" s="83">
        <v>78</v>
      </c>
      <c r="E9" s="14">
        <v>38</v>
      </c>
      <c r="F9" s="14">
        <v>6</v>
      </c>
      <c r="G9" s="14">
        <v>0</v>
      </c>
      <c r="H9" s="83">
        <v>8</v>
      </c>
      <c r="I9" s="83">
        <v>8</v>
      </c>
      <c r="J9" s="83">
        <v>31</v>
      </c>
      <c r="K9" s="83">
        <v>34</v>
      </c>
      <c r="L9" s="14">
        <v>6</v>
      </c>
      <c r="M9" s="14">
        <v>8</v>
      </c>
      <c r="N9" s="14">
        <v>15</v>
      </c>
      <c r="O9" s="83">
        <v>12</v>
      </c>
      <c r="P9" s="83">
        <v>14</v>
      </c>
    </row>
    <row r="10" spans="1:17" ht="35.25" customHeight="1">
      <c r="A10" s="19">
        <v>4</v>
      </c>
      <c r="B10" s="13" t="s">
        <v>308</v>
      </c>
      <c r="C10" s="83">
        <v>408</v>
      </c>
      <c r="D10" s="83">
        <v>448</v>
      </c>
      <c r="E10" s="14">
        <v>237</v>
      </c>
      <c r="F10" s="14">
        <v>16</v>
      </c>
      <c r="G10" s="14">
        <v>2</v>
      </c>
      <c r="H10" s="83">
        <v>61</v>
      </c>
      <c r="I10" s="83">
        <v>67</v>
      </c>
      <c r="J10" s="83">
        <v>183</v>
      </c>
      <c r="K10" s="83">
        <v>201</v>
      </c>
      <c r="L10" s="14">
        <v>47</v>
      </c>
      <c r="M10" s="14">
        <v>49</v>
      </c>
      <c r="N10" s="14">
        <v>106</v>
      </c>
      <c r="O10" s="83">
        <v>12</v>
      </c>
      <c r="P10" s="83">
        <v>13</v>
      </c>
    </row>
    <row r="11" spans="1:17" ht="36.75" customHeight="1">
      <c r="A11" s="19">
        <v>5</v>
      </c>
      <c r="B11" s="13" t="s">
        <v>309</v>
      </c>
      <c r="C11" s="83">
        <v>184</v>
      </c>
      <c r="D11" s="83">
        <v>199</v>
      </c>
      <c r="E11" s="14">
        <v>131</v>
      </c>
      <c r="F11" s="14">
        <v>10</v>
      </c>
      <c r="G11" s="14">
        <v>1</v>
      </c>
      <c r="H11" s="115">
        <v>0</v>
      </c>
      <c r="I11" s="115">
        <v>0</v>
      </c>
      <c r="J11" s="83">
        <v>84</v>
      </c>
      <c r="K11" s="83">
        <v>94</v>
      </c>
      <c r="L11" s="14">
        <v>21</v>
      </c>
      <c r="M11" s="14">
        <v>47</v>
      </c>
      <c r="N11" s="14">
        <v>41</v>
      </c>
      <c r="O11" s="83">
        <v>22</v>
      </c>
      <c r="P11" s="83">
        <v>26</v>
      </c>
    </row>
    <row r="12" spans="1:17" ht="41.25" customHeight="1">
      <c r="A12" s="19">
        <v>6</v>
      </c>
      <c r="B12" s="13" t="s">
        <v>310</v>
      </c>
      <c r="C12" s="83">
        <v>105</v>
      </c>
      <c r="D12" s="83">
        <v>118</v>
      </c>
      <c r="E12" s="14">
        <v>59</v>
      </c>
      <c r="F12" s="14">
        <v>8</v>
      </c>
      <c r="G12" s="14">
        <v>0</v>
      </c>
      <c r="H12" s="83">
        <v>13</v>
      </c>
      <c r="I12" s="83">
        <v>13</v>
      </c>
      <c r="J12" s="83">
        <v>57</v>
      </c>
      <c r="K12" s="83">
        <v>63</v>
      </c>
      <c r="L12" s="14">
        <v>12</v>
      </c>
      <c r="M12" s="14">
        <v>24</v>
      </c>
      <c r="N12" s="14">
        <v>27</v>
      </c>
      <c r="O12" s="83">
        <v>12</v>
      </c>
      <c r="P12" s="83">
        <v>13</v>
      </c>
    </row>
    <row r="13" spans="1:17" ht="38.25" customHeight="1">
      <c r="A13" s="19">
        <v>7</v>
      </c>
      <c r="B13" s="13" t="s">
        <v>311</v>
      </c>
      <c r="C13" s="83">
        <v>82</v>
      </c>
      <c r="D13" s="83">
        <v>37</v>
      </c>
      <c r="E13" s="14">
        <v>43</v>
      </c>
      <c r="F13" s="14">
        <v>18</v>
      </c>
      <c r="G13" s="14">
        <v>1</v>
      </c>
      <c r="H13" s="83">
        <v>8</v>
      </c>
      <c r="I13" s="83">
        <v>8</v>
      </c>
      <c r="J13" s="83">
        <v>37</v>
      </c>
      <c r="K13" s="83">
        <v>37</v>
      </c>
      <c r="L13" s="14">
        <v>11</v>
      </c>
      <c r="M13" s="14">
        <v>17</v>
      </c>
      <c r="N13" s="14">
        <v>10</v>
      </c>
      <c r="O13" s="83">
        <v>2</v>
      </c>
      <c r="P13" s="83">
        <v>2</v>
      </c>
    </row>
    <row r="14" spans="1:17" ht="24.95" customHeight="1">
      <c r="A14" s="19">
        <v>8</v>
      </c>
      <c r="B14" s="13" t="s">
        <v>11</v>
      </c>
      <c r="C14" s="114">
        <f t="shared" ref="C14:F14" si="0">IF(C7+C8+C9+C10+C12+C11+C13=0,"",C7+C8+C9+C10+C12+C11+C13)</f>
        <v>1343</v>
      </c>
      <c r="D14" s="114">
        <f t="shared" si="0"/>
        <v>1210</v>
      </c>
      <c r="E14" s="114">
        <f t="shared" si="0"/>
        <v>800</v>
      </c>
      <c r="F14" s="114">
        <f t="shared" si="0"/>
        <v>74</v>
      </c>
      <c r="G14" s="114">
        <f>IF(G7+G8+G9+G10+G11+G12+G13=0,"",G7+G8+G9+G10+G11+G12+G13)</f>
        <v>6</v>
      </c>
      <c r="H14" s="114">
        <f t="shared" ref="H14:P14" si="1">IF(H7+H8+H9+H10+H11+H12+H13=0,"",H7+H8+H9+H10+H11+H12+H13)</f>
        <v>94</v>
      </c>
      <c r="I14" s="114">
        <f t="shared" si="1"/>
        <v>100</v>
      </c>
      <c r="J14" s="114">
        <f t="shared" si="1"/>
        <v>586</v>
      </c>
      <c r="K14" s="114">
        <f t="shared" si="1"/>
        <v>627</v>
      </c>
      <c r="L14" s="114">
        <f t="shared" si="1"/>
        <v>180</v>
      </c>
      <c r="M14" s="114">
        <f t="shared" si="1"/>
        <v>208</v>
      </c>
      <c r="N14" s="114">
        <f t="shared" si="1"/>
        <v>271</v>
      </c>
      <c r="O14" s="114">
        <f t="shared" si="1"/>
        <v>90</v>
      </c>
      <c r="P14" s="114">
        <f t="shared" si="1"/>
        <v>93</v>
      </c>
    </row>
    <row r="15" spans="1:17"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</row>
  </sheetData>
  <sheetProtection algorithmName="SHA-512" hashValue="reDwMhdEW1ub32VDXYK/rjRarnR+HKwznljSz8YNwIXlRI4s76BjvxamwoZyzrJyOvqYSErqyjt6Rz8DH8s6hQ==" saltValue="lPdgvGp9SM/g78sLE20cag==" spinCount="100000" sheet="1" objects="1" scenarios="1"/>
  <mergeCells count="10">
    <mergeCell ref="A1:O3"/>
    <mergeCell ref="P2:P3"/>
    <mergeCell ref="O4:P4"/>
    <mergeCell ref="E4:G4"/>
    <mergeCell ref="B4:B5"/>
    <mergeCell ref="L4:N4"/>
    <mergeCell ref="H4:I4"/>
    <mergeCell ref="C4:D4"/>
    <mergeCell ref="J4:K4"/>
    <mergeCell ref="A4:A5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2E9F1-9883-4AE4-9203-5A1D97A39EE4}">
  <sheetPr>
    <pageSetUpPr fitToPage="1"/>
  </sheetPr>
  <dimension ref="A1:O14"/>
  <sheetViews>
    <sheetView zoomScale="85" zoomScaleNormal="85" workbookViewId="0">
      <selection activeCell="E7" sqref="E7:F7"/>
    </sheetView>
  </sheetViews>
  <sheetFormatPr defaultRowHeight="15"/>
  <cols>
    <col min="1" max="1" width="3.7109375" customWidth="1"/>
    <col min="2" max="2" width="44.28515625" customWidth="1"/>
    <col min="3" max="10" width="15.7109375" customWidth="1"/>
  </cols>
  <sheetData>
    <row r="1" spans="1:15">
      <c r="A1" s="140" t="s">
        <v>271</v>
      </c>
      <c r="B1" s="140"/>
      <c r="C1" s="140"/>
      <c r="D1" s="140"/>
      <c r="E1" s="140"/>
      <c r="F1" s="140"/>
      <c r="G1" s="140"/>
      <c r="H1" s="140"/>
      <c r="I1" s="140"/>
      <c r="J1" s="68" t="s">
        <v>14</v>
      </c>
      <c r="K1" s="6"/>
      <c r="L1" s="6"/>
      <c r="M1" s="6"/>
      <c r="N1" s="6"/>
      <c r="O1" s="6"/>
    </row>
    <row r="2" spans="1:15">
      <c r="A2" s="140"/>
      <c r="B2" s="140"/>
      <c r="C2" s="140"/>
      <c r="D2" s="140"/>
      <c r="E2" s="140"/>
      <c r="F2" s="140"/>
      <c r="G2" s="140"/>
      <c r="H2" s="140"/>
      <c r="I2" s="140"/>
      <c r="J2" s="149" t="s">
        <v>301</v>
      </c>
      <c r="K2" s="6"/>
      <c r="L2" s="6"/>
      <c r="M2" s="6"/>
      <c r="N2" s="6"/>
      <c r="O2" s="6"/>
    </row>
    <row r="3" spans="1:15">
      <c r="A3" s="139"/>
      <c r="B3" s="139"/>
      <c r="C3" s="139"/>
      <c r="D3" s="139"/>
      <c r="E3" s="139"/>
      <c r="F3" s="139"/>
      <c r="G3" s="139"/>
      <c r="H3" s="139"/>
      <c r="I3" s="139"/>
      <c r="J3" s="142"/>
    </row>
    <row r="4" spans="1:15" ht="50.1" customHeight="1">
      <c r="A4" s="19"/>
      <c r="B4" s="49" t="s">
        <v>0</v>
      </c>
      <c r="C4" s="49" t="str">
        <f>"Факт " &amp; J2 &amp; "           2023 г"</f>
        <v>Факт Сентябрь           2023 г</v>
      </c>
      <c r="D4" s="49" t="str">
        <f xml:space="preserve"> "Факт " &amp; J2 &amp; "         2024 г"</f>
        <v>Факт Сентябрь         2024 г</v>
      </c>
      <c r="E4" s="147" t="s">
        <v>255</v>
      </c>
      <c r="F4" s="148"/>
      <c r="G4" s="49" t="str">
        <f xml:space="preserve"> "Факт Январь -" &amp; J2 &amp; " 2023 г"</f>
        <v>Факт Январь -Сентябрь 2023 г</v>
      </c>
      <c r="H4" s="49" t="str">
        <f xml:space="preserve"> "Факт Январь -" &amp; J2 &amp; " 2024 г"</f>
        <v>Факт Январь -Сентябрь 2024 г</v>
      </c>
      <c r="I4" s="147" t="s">
        <v>252</v>
      </c>
      <c r="J4" s="148"/>
    </row>
    <row r="5" spans="1:15" ht="15" customHeight="1">
      <c r="A5" s="64"/>
      <c r="B5" s="64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19" t="s">
        <v>1</v>
      </c>
      <c r="B6" s="49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s="74" customFormat="1" ht="24.95" customHeight="1">
      <c r="A7" s="18">
        <v>1</v>
      </c>
      <c r="B7" s="29" t="s">
        <v>275</v>
      </c>
      <c r="C7" s="44">
        <v>0</v>
      </c>
      <c r="D7" s="40">
        <v>7</v>
      </c>
      <c r="E7" s="19">
        <f t="shared" ref="E7" si="0">IF(AND(C7=0,D7=0),"",IFERROR(IF(OR(D7=0,D7=""),-C7,D7-C7),""))</f>
        <v>7</v>
      </c>
      <c r="F7" s="42">
        <f t="shared" ref="F7" si="1">IF(AND(D7=0,C7=0),"",IFERROR(IF(C7=0, D7, D7/C7),""))</f>
        <v>7</v>
      </c>
      <c r="G7" s="83"/>
      <c r="H7" s="83"/>
      <c r="I7" s="19" t="str">
        <f t="shared" ref="I7:I14" si="2">IF(AND(G7=0,H7=0),"",IFERROR(IF(OR(H7=0,H7=""),-G7,H7-G7),""))</f>
        <v/>
      </c>
      <c r="J7" s="42" t="str">
        <f t="shared" ref="J7:J14" si="3">IF(AND(H7=0,G7=0),"",IFERROR(IF(G7=0, H7, H7/G7),""))</f>
        <v/>
      </c>
    </row>
    <row r="8" spans="1:15" s="74" customFormat="1" ht="24.95" customHeight="1">
      <c r="A8" s="18">
        <v>2</v>
      </c>
      <c r="B8" s="29" t="s">
        <v>276</v>
      </c>
      <c r="C8" s="44">
        <v>0</v>
      </c>
      <c r="D8" s="40">
        <v>402</v>
      </c>
      <c r="E8" s="19">
        <f t="shared" ref="E8:E14" si="4">IF(AND(C8=0,D8=0),"",IFERROR(IF(OR(D8=0,D8=""),-C8,D8-C8),""))</f>
        <v>402</v>
      </c>
      <c r="F8" s="42">
        <f t="shared" ref="F8:F14" si="5">IF(AND(D8=0,C8=0),"",IFERROR(IF(C8=0, D8, D8/C8),""))</f>
        <v>402</v>
      </c>
      <c r="G8" s="83"/>
      <c r="H8" s="83"/>
      <c r="I8" s="19" t="str">
        <f t="shared" si="2"/>
        <v/>
      </c>
      <c r="J8" s="42" t="str">
        <f t="shared" si="3"/>
        <v/>
      </c>
    </row>
    <row r="9" spans="1:15" s="74" customFormat="1" ht="24.95" customHeight="1">
      <c r="A9" s="18">
        <v>3</v>
      </c>
      <c r="B9" s="23" t="s">
        <v>304</v>
      </c>
      <c r="C9" s="44">
        <v>0</v>
      </c>
      <c r="D9" s="40">
        <v>391</v>
      </c>
      <c r="E9" s="19">
        <f t="shared" si="4"/>
        <v>391</v>
      </c>
      <c r="F9" s="42">
        <f t="shared" si="5"/>
        <v>391</v>
      </c>
      <c r="G9" s="83"/>
      <c r="H9" s="83"/>
      <c r="I9" s="19" t="str">
        <f t="shared" si="2"/>
        <v/>
      </c>
      <c r="J9" s="42" t="str">
        <f t="shared" si="3"/>
        <v/>
      </c>
    </row>
    <row r="10" spans="1:15" s="74" customFormat="1" ht="24.95" customHeight="1">
      <c r="A10" s="18">
        <v>4</v>
      </c>
      <c r="B10" s="85" t="s">
        <v>127</v>
      </c>
      <c r="C10" s="44"/>
      <c r="D10" s="40"/>
      <c r="E10" s="19" t="str">
        <f t="shared" si="4"/>
        <v/>
      </c>
      <c r="F10" s="42" t="str">
        <f t="shared" si="5"/>
        <v/>
      </c>
      <c r="G10" s="83"/>
      <c r="H10" s="83"/>
      <c r="I10" s="19" t="str">
        <f t="shared" si="2"/>
        <v/>
      </c>
      <c r="J10" s="42" t="str">
        <f t="shared" si="3"/>
        <v/>
      </c>
    </row>
    <row r="11" spans="1:15" s="74" customFormat="1" ht="24.95" customHeight="1">
      <c r="A11" s="18">
        <v>5</v>
      </c>
      <c r="B11" s="85" t="s">
        <v>128</v>
      </c>
      <c r="C11" s="44"/>
      <c r="D11" s="40"/>
      <c r="E11" s="19" t="str">
        <f t="shared" si="4"/>
        <v/>
      </c>
      <c r="F11" s="42" t="str">
        <f t="shared" si="5"/>
        <v/>
      </c>
      <c r="G11" s="83"/>
      <c r="H11" s="83"/>
      <c r="I11" s="19" t="str">
        <f t="shared" si="2"/>
        <v/>
      </c>
      <c r="J11" s="42" t="str">
        <f t="shared" si="3"/>
        <v/>
      </c>
    </row>
    <row r="12" spans="1:15" s="74" customFormat="1" ht="24.95" customHeight="1">
      <c r="A12" s="18">
        <v>6</v>
      </c>
      <c r="B12" s="85" t="s">
        <v>129</v>
      </c>
      <c r="C12" s="44">
        <v>0</v>
      </c>
      <c r="D12" s="40">
        <v>402</v>
      </c>
      <c r="E12" s="19">
        <f t="shared" si="4"/>
        <v>402</v>
      </c>
      <c r="F12" s="42">
        <f t="shared" si="5"/>
        <v>402</v>
      </c>
      <c r="G12" s="83"/>
      <c r="H12" s="83"/>
      <c r="I12" s="19" t="str">
        <f t="shared" si="2"/>
        <v/>
      </c>
      <c r="J12" s="42" t="str">
        <f t="shared" si="3"/>
        <v/>
      </c>
    </row>
    <row r="13" spans="1:15" s="74" customFormat="1" ht="24.95" customHeight="1">
      <c r="A13" s="18">
        <v>7</v>
      </c>
      <c r="B13" s="29" t="s">
        <v>277</v>
      </c>
      <c r="C13" s="44">
        <v>0</v>
      </c>
      <c r="D13" s="40">
        <v>1</v>
      </c>
      <c r="E13" s="19">
        <f t="shared" si="4"/>
        <v>1</v>
      </c>
      <c r="F13" s="42">
        <f t="shared" si="5"/>
        <v>1</v>
      </c>
      <c r="G13" s="83"/>
      <c r="H13" s="83"/>
      <c r="I13" s="19" t="str">
        <f t="shared" si="2"/>
        <v/>
      </c>
      <c r="J13" s="42" t="str">
        <f t="shared" si="3"/>
        <v/>
      </c>
    </row>
    <row r="14" spans="1:15" s="74" customFormat="1" ht="24.95" customHeight="1">
      <c r="A14" s="18">
        <v>8</v>
      </c>
      <c r="B14" s="29" t="s">
        <v>11</v>
      </c>
      <c r="C14" s="117">
        <f>C7+C8+C13</f>
        <v>0</v>
      </c>
      <c r="D14" s="19">
        <f>IF(D7+D8+D12+D13=0,"",D7+D8+D12+D13)</f>
        <v>812</v>
      </c>
      <c r="E14" s="19">
        <f t="shared" si="4"/>
        <v>812</v>
      </c>
      <c r="F14" s="42">
        <f t="shared" si="5"/>
        <v>812</v>
      </c>
      <c r="G14" s="18" t="str">
        <f>IF(G7+G8+G13=0,"",G7+G8+G13)</f>
        <v/>
      </c>
      <c r="H14" s="18" t="str">
        <f>IF(H7+H8+H13=0,"",H7+H8+H13)</f>
        <v/>
      </c>
      <c r="I14" s="19" t="str">
        <f t="shared" si="2"/>
        <v/>
      </c>
      <c r="J14" s="42" t="str">
        <f t="shared" si="3"/>
        <v/>
      </c>
    </row>
  </sheetData>
  <sheetProtection algorithmName="SHA-512" hashValue="qghxMeWoa35QZOlIKOxlSzm4DWtX/qBJLMHjNkUYRZY2QJoqBma/1/NPx5xl226K9RUxzZ0k8ST9Lg3/dvfERQ==" saltValue="L7ljODitSJBi94titR33eQ==" spinCount="100000" sheet="1" objects="1" scenarios="1"/>
  <mergeCells count="4">
    <mergeCell ref="E4:F4"/>
    <mergeCell ref="I4:J4"/>
    <mergeCell ref="A1:I3"/>
    <mergeCell ref="J2:J3"/>
  </mergeCells>
  <pageMargins left="0.25" right="0.25" top="0.75" bottom="0.75" header="0.3" footer="0.3"/>
  <pageSetup paperSize="9" scale="8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B712E-5F55-43D4-AA61-6AFC113A493A}">
  <sheetPr>
    <pageSetUpPr fitToPage="1"/>
  </sheetPr>
  <dimension ref="A1:O12"/>
  <sheetViews>
    <sheetView tabSelected="1" zoomScale="70" zoomScaleNormal="70" workbookViewId="0">
      <selection activeCell="J12" sqref="J12"/>
    </sheetView>
  </sheetViews>
  <sheetFormatPr defaultRowHeight="15"/>
  <cols>
    <col min="1" max="1" width="3.7109375" style="74" customWidth="1"/>
    <col min="2" max="2" width="48.85546875" customWidth="1"/>
    <col min="3" max="10" width="15.7109375" customWidth="1"/>
  </cols>
  <sheetData>
    <row r="1" spans="1:15" ht="15" customHeight="1">
      <c r="A1" s="140" t="s">
        <v>272</v>
      </c>
      <c r="B1" s="140"/>
      <c r="C1" s="140"/>
      <c r="D1" s="140"/>
      <c r="E1" s="140"/>
      <c r="F1" s="140"/>
      <c r="G1" s="140"/>
      <c r="H1" s="140"/>
      <c r="I1" s="140"/>
      <c r="J1" s="68" t="s">
        <v>14</v>
      </c>
      <c r="K1" s="6"/>
      <c r="L1" s="6"/>
      <c r="M1" s="6"/>
      <c r="N1" s="6"/>
      <c r="O1" s="6"/>
    </row>
    <row r="2" spans="1:15" ht="15" customHeight="1">
      <c r="A2" s="140"/>
      <c r="B2" s="140"/>
      <c r="C2" s="140"/>
      <c r="D2" s="140"/>
      <c r="E2" s="140"/>
      <c r="F2" s="140"/>
      <c r="G2" s="140"/>
      <c r="H2" s="140"/>
      <c r="I2" s="140"/>
      <c r="J2" s="149" t="s">
        <v>301</v>
      </c>
      <c r="K2" s="6"/>
      <c r="L2" s="6"/>
      <c r="M2" s="6"/>
      <c r="N2" s="6"/>
      <c r="O2" s="6"/>
    </row>
    <row r="3" spans="1:15" ht="15" customHeight="1">
      <c r="A3" s="139"/>
      <c r="B3" s="139"/>
      <c r="C3" s="139"/>
      <c r="D3" s="139"/>
      <c r="E3" s="139"/>
      <c r="F3" s="139"/>
      <c r="G3" s="139"/>
      <c r="H3" s="139"/>
      <c r="I3" s="139"/>
      <c r="J3" s="142"/>
    </row>
    <row r="4" spans="1:15" ht="50.1" customHeight="1">
      <c r="A4" s="18"/>
      <c r="B4" s="49" t="s">
        <v>0</v>
      </c>
      <c r="C4" s="49" t="str">
        <f>"Факт " &amp; J2 &amp; " 2023 г"</f>
        <v>Факт Сентябрь 2023 г</v>
      </c>
      <c r="D4" s="49" t="str">
        <f xml:space="preserve"> "Факт " &amp; J2 &amp; " 2024 г"</f>
        <v>Факт Сентябрь 2024 г</v>
      </c>
      <c r="E4" s="147" t="s">
        <v>252</v>
      </c>
      <c r="F4" s="148"/>
      <c r="G4" s="49" t="str">
        <f xml:space="preserve"> "Факт Январь -" &amp; J2 &amp; " 2023 г"</f>
        <v>Факт Январь -Сентябрь 2023 г</v>
      </c>
      <c r="H4" s="49" t="str">
        <f xml:space="preserve"> "Факт Январь -" &amp; J2 &amp; " 2024 г"</f>
        <v>Факт Январь -Сентябрь 2024 г</v>
      </c>
      <c r="I4" s="147" t="s">
        <v>252</v>
      </c>
      <c r="J4" s="148"/>
    </row>
    <row r="5" spans="1:15" ht="15" customHeight="1">
      <c r="A5" s="80"/>
      <c r="B5" s="64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18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ht="24.95" customHeight="1">
      <c r="A7" s="18">
        <v>1</v>
      </c>
      <c r="B7" s="29" t="s">
        <v>130</v>
      </c>
      <c r="C7" s="40">
        <v>6</v>
      </c>
      <c r="D7" s="40">
        <v>20</v>
      </c>
      <c r="E7" s="19">
        <f t="shared" ref="E7" si="0">IF(AND(C7=0,D7=0),"",IFERROR(IF(OR(D7=0,D7=""),-C7,D7-C7),""))</f>
        <v>14</v>
      </c>
      <c r="F7" s="42">
        <f t="shared" ref="F7" si="1">IF(AND(D7=0,C7=0),"",IFERROR(IF(C7=0, D7, D7/C7),""))</f>
        <v>3.3333333333333335</v>
      </c>
      <c r="G7" s="44">
        <v>68</v>
      </c>
      <c r="H7" s="40">
        <v>355</v>
      </c>
      <c r="I7" s="19">
        <f t="shared" ref="I7:I11" si="2">IF(AND(G7=0,H7=0),"",IFERROR(IF(OR(H7=0,H7=""),-G7,H7-G7),""))</f>
        <v>287</v>
      </c>
      <c r="J7" s="42">
        <f t="shared" ref="J7:J11" si="3">IFERROR(H7/G7,"")</f>
        <v>5.2205882352941178</v>
      </c>
    </row>
    <row r="8" spans="1:15" ht="24.95" customHeight="1">
      <c r="A8" s="18">
        <v>2</v>
      </c>
      <c r="B8" s="29" t="s">
        <v>131</v>
      </c>
      <c r="C8" s="40">
        <v>0</v>
      </c>
      <c r="D8" s="40">
        <v>0</v>
      </c>
      <c r="E8" s="19" t="str">
        <f t="shared" ref="E8:E11" si="4">IF(AND(C8=0,D8=0),"",IFERROR(IF(OR(D8=0,D8=""),-C8,D8-C8),""))</f>
        <v/>
      </c>
      <c r="F8" s="42" t="str">
        <f t="shared" ref="F8:F11" si="5">IF(AND(D8=0,C8=0),"",IFERROR(IF(C8=0, D8, D8/C8),""))</f>
        <v/>
      </c>
      <c r="G8" s="44">
        <v>2</v>
      </c>
      <c r="H8" s="40">
        <v>10</v>
      </c>
      <c r="I8" s="19">
        <f t="shared" si="2"/>
        <v>8</v>
      </c>
      <c r="J8" s="42">
        <f t="shared" si="3"/>
        <v>5</v>
      </c>
    </row>
    <row r="9" spans="1:15" ht="24.95" customHeight="1">
      <c r="A9" s="18">
        <v>3</v>
      </c>
      <c r="B9" s="29" t="s">
        <v>132</v>
      </c>
      <c r="C9" s="40">
        <v>0</v>
      </c>
      <c r="D9" s="40">
        <v>5</v>
      </c>
      <c r="E9" s="19">
        <f t="shared" si="4"/>
        <v>5</v>
      </c>
      <c r="F9" s="42">
        <f t="shared" si="5"/>
        <v>5</v>
      </c>
      <c r="G9" s="44">
        <v>0</v>
      </c>
      <c r="H9" s="40">
        <v>70</v>
      </c>
      <c r="I9" s="19">
        <f t="shared" si="2"/>
        <v>70</v>
      </c>
      <c r="J9" s="42" t="str">
        <f t="shared" si="3"/>
        <v/>
      </c>
    </row>
    <row r="10" spans="1:15" ht="24.95" customHeight="1">
      <c r="A10" s="18">
        <v>4</v>
      </c>
      <c r="B10" s="29" t="s">
        <v>133</v>
      </c>
      <c r="C10" s="40">
        <v>0</v>
      </c>
      <c r="D10" s="40">
        <v>8</v>
      </c>
      <c r="E10" s="19">
        <f t="shared" si="4"/>
        <v>8</v>
      </c>
      <c r="F10" s="42">
        <f t="shared" si="5"/>
        <v>8</v>
      </c>
      <c r="G10" s="44">
        <v>6</v>
      </c>
      <c r="H10" s="40">
        <v>89</v>
      </c>
      <c r="I10" s="19">
        <f t="shared" si="2"/>
        <v>83</v>
      </c>
      <c r="J10" s="42">
        <f t="shared" si="3"/>
        <v>14.833333333333334</v>
      </c>
    </row>
    <row r="11" spans="1:15" ht="24.95" customHeight="1">
      <c r="A11" s="18">
        <v>5</v>
      </c>
      <c r="B11" s="29" t="s">
        <v>134</v>
      </c>
      <c r="C11" s="40">
        <v>10</v>
      </c>
      <c r="D11" s="40">
        <v>147</v>
      </c>
      <c r="E11" s="19">
        <f t="shared" si="4"/>
        <v>137</v>
      </c>
      <c r="F11" s="42">
        <f t="shared" si="5"/>
        <v>14.7</v>
      </c>
      <c r="G11" s="44">
        <v>215</v>
      </c>
      <c r="H11" s="40">
        <v>1219</v>
      </c>
      <c r="I11" s="19">
        <f t="shared" si="2"/>
        <v>1004</v>
      </c>
      <c r="J11" s="42">
        <f t="shared" si="3"/>
        <v>5.6697674418604649</v>
      </c>
    </row>
    <row r="12" spans="1:15" ht="29.25" customHeight="1">
      <c r="A12" s="18">
        <v>5</v>
      </c>
      <c r="B12" s="29" t="s">
        <v>134</v>
      </c>
      <c r="C12" s="40">
        <v>147</v>
      </c>
      <c r="D12" s="40">
        <v>0</v>
      </c>
      <c r="E12" s="19">
        <f t="shared" ref="E12" si="6">IF(AND(C12=0,D12=0),"",IFERROR(IF(OR(D12=0,D12=""),-C12,D12-C12),""))</f>
        <v>-147</v>
      </c>
      <c r="F12" s="42">
        <f>IFERROR(D12/C12,"")</f>
        <v>0</v>
      </c>
      <c r="G12" s="44">
        <v>215</v>
      </c>
      <c r="H12" s="40">
        <v>1219</v>
      </c>
      <c r="I12" s="19">
        <f t="shared" ref="I12" si="7">IF(AND(G12=0,H12=0),"",IFERROR(IF(OR(H12=0,H12=""),-G12,H12-G12),""))</f>
        <v>1004</v>
      </c>
      <c r="J12" s="42">
        <f>IFERROR(H12/G12,"")</f>
        <v>5.6697674418604649</v>
      </c>
    </row>
  </sheetData>
  <mergeCells count="4">
    <mergeCell ref="A1:I3"/>
    <mergeCell ref="E4:F4"/>
    <mergeCell ref="I4:J4"/>
    <mergeCell ref="J2:J3"/>
  </mergeCell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92A26-C4CA-40DA-80DE-C94006BEE962}">
  <dimension ref="A1:A35"/>
  <sheetViews>
    <sheetView topLeftCell="A10" zoomScale="55" zoomScaleNormal="55" workbookViewId="0"/>
  </sheetViews>
  <sheetFormatPr defaultRowHeight="14.25"/>
  <cols>
    <col min="1" max="1" width="112.140625" style="1" customWidth="1"/>
    <col min="2" max="16384" width="9.140625" style="1"/>
  </cols>
  <sheetData>
    <row r="1" spans="1:1" s="57" customFormat="1" ht="32.25" customHeight="1">
      <c r="A1" s="56" t="s">
        <v>242</v>
      </c>
    </row>
    <row r="2" spans="1:1" s="57" customFormat="1" ht="18">
      <c r="A2" s="58" t="s">
        <v>176</v>
      </c>
    </row>
    <row r="3" spans="1:1" s="57" customFormat="1" ht="75.75">
      <c r="A3" s="59" t="s">
        <v>211</v>
      </c>
    </row>
    <row r="4" spans="1:1" s="57" customFormat="1" ht="18">
      <c r="A4" s="58" t="s">
        <v>177</v>
      </c>
    </row>
    <row r="5" spans="1:1" s="57" customFormat="1" ht="75">
      <c r="A5" s="59" t="s">
        <v>212</v>
      </c>
    </row>
    <row r="6" spans="1:1" s="57" customFormat="1" ht="18">
      <c r="A6" s="58" t="s">
        <v>178</v>
      </c>
    </row>
    <row r="7" spans="1:1" s="57" customFormat="1" ht="15">
      <c r="A7" s="59" t="s">
        <v>213</v>
      </c>
    </row>
    <row r="8" spans="1:1" s="57" customFormat="1" ht="30">
      <c r="A8" s="59" t="s">
        <v>214</v>
      </c>
    </row>
    <row r="9" spans="1:1" s="57" customFormat="1" ht="30">
      <c r="A9" s="59" t="s">
        <v>215</v>
      </c>
    </row>
    <row r="10" spans="1:1" s="57" customFormat="1" ht="30">
      <c r="A10" s="59" t="s">
        <v>216</v>
      </c>
    </row>
    <row r="11" spans="1:1" s="57" customFormat="1" ht="30">
      <c r="A11" s="59" t="s">
        <v>217</v>
      </c>
    </row>
    <row r="12" spans="1:1" s="57" customFormat="1" ht="18">
      <c r="A12" s="58" t="s">
        <v>179</v>
      </c>
    </row>
    <row r="13" spans="1:1" s="57" customFormat="1" ht="60">
      <c r="A13" s="59" t="s">
        <v>218</v>
      </c>
    </row>
    <row r="14" spans="1:1" s="57" customFormat="1" ht="45">
      <c r="A14" s="59" t="s">
        <v>219</v>
      </c>
    </row>
    <row r="15" spans="1:1" s="57" customFormat="1" ht="18">
      <c r="A15" s="58" t="s">
        <v>180</v>
      </c>
    </row>
    <row r="16" spans="1:1" s="57" customFormat="1" ht="60">
      <c r="A16" s="59" t="s">
        <v>231</v>
      </c>
    </row>
    <row r="17" spans="1:1" s="57" customFormat="1" ht="81" customHeight="1">
      <c r="A17" s="59" t="s">
        <v>239</v>
      </c>
    </row>
    <row r="18" spans="1:1" s="57" customFormat="1" ht="60">
      <c r="A18" s="59" t="s">
        <v>240</v>
      </c>
    </row>
    <row r="19" spans="1:1" s="57" customFormat="1" ht="105">
      <c r="A19" s="59" t="s">
        <v>220</v>
      </c>
    </row>
    <row r="20" spans="1:1" s="57" customFormat="1" ht="18">
      <c r="A20" s="58" t="s">
        <v>181</v>
      </c>
    </row>
    <row r="21" spans="1:1" s="57" customFormat="1" ht="75">
      <c r="A21" s="59" t="s">
        <v>221</v>
      </c>
    </row>
    <row r="22" spans="1:1" s="57" customFormat="1" ht="18">
      <c r="A22" s="58" t="s">
        <v>182</v>
      </c>
    </row>
    <row r="23" spans="1:1" s="57" customFormat="1" ht="45">
      <c r="A23" s="59" t="s">
        <v>222</v>
      </c>
    </row>
    <row r="24" spans="1:1" s="57" customFormat="1" ht="30">
      <c r="A24" s="59" t="s">
        <v>223</v>
      </c>
    </row>
    <row r="25" spans="1:1" s="57" customFormat="1" ht="45">
      <c r="A25" s="59" t="s">
        <v>224</v>
      </c>
    </row>
    <row r="26" spans="1:1" s="57" customFormat="1" ht="18">
      <c r="A26" s="58" t="s">
        <v>183</v>
      </c>
    </row>
    <row r="27" spans="1:1" s="57" customFormat="1" ht="45">
      <c r="A27" s="59" t="s">
        <v>225</v>
      </c>
    </row>
    <row r="28" spans="1:1" s="57" customFormat="1" ht="30">
      <c r="A28" s="59" t="s">
        <v>226</v>
      </c>
    </row>
    <row r="29" spans="1:1" s="57" customFormat="1" ht="30">
      <c r="A29" s="59" t="s">
        <v>227</v>
      </c>
    </row>
    <row r="30" spans="1:1" s="57" customFormat="1" ht="42.75">
      <c r="A30" s="60" t="s">
        <v>228</v>
      </c>
    </row>
    <row r="31" spans="1:1" s="57" customFormat="1" ht="45">
      <c r="A31" s="59" t="s">
        <v>229</v>
      </c>
    </row>
    <row r="32" spans="1:1" s="57" customFormat="1" ht="18">
      <c r="A32" s="58" t="s">
        <v>184</v>
      </c>
    </row>
    <row r="33" spans="1:1" s="57" customFormat="1" ht="30">
      <c r="A33" s="59" t="s">
        <v>230</v>
      </c>
    </row>
    <row r="34" spans="1:1" s="57" customFormat="1" ht="12.75"/>
    <row r="35" spans="1:1" s="57" customFormat="1">
      <c r="A35" s="61"/>
    </row>
  </sheetData>
  <sheetProtection algorithmName="SHA-512" hashValue="gKSuV6rUlZcmrgKDnPlTWKTykQvscI4/hE0WD7dQhk5L5pxZKc4mjS4vI01hjbnCPYuq1ZgNa4UoF8Mq3BlYag==" saltValue="87+3hMCg5KEzG5o7S+280Q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3B732-5E6C-4E40-8171-F8E2D106FB07}">
  <sheetPr>
    <pageSetUpPr fitToPage="1"/>
  </sheetPr>
  <dimension ref="A1:J242"/>
  <sheetViews>
    <sheetView topLeftCell="A4" zoomScale="70" zoomScaleNormal="70" workbookViewId="0">
      <selection activeCell="E29" sqref="E29:F29"/>
    </sheetView>
  </sheetViews>
  <sheetFormatPr defaultRowHeight="15"/>
  <cols>
    <col min="1" max="1" width="3.7109375" customWidth="1"/>
    <col min="2" max="2" width="36.5703125" customWidth="1"/>
    <col min="3" max="10" width="15.7109375" customWidth="1"/>
    <col min="66" max="66" width="9.5703125" customWidth="1"/>
  </cols>
  <sheetData>
    <row r="1" spans="1:10">
      <c r="A1" s="140" t="s">
        <v>157</v>
      </c>
      <c r="B1" s="140"/>
      <c r="C1" s="140"/>
      <c r="D1" s="140"/>
      <c r="E1" s="140"/>
      <c r="F1" s="140"/>
      <c r="G1" s="140"/>
      <c r="H1" s="140"/>
      <c r="I1" s="140"/>
      <c r="J1" s="72" t="s">
        <v>14</v>
      </c>
    </row>
    <row r="2" spans="1:10">
      <c r="A2" s="140"/>
      <c r="B2" s="140"/>
      <c r="C2" s="140"/>
      <c r="D2" s="140"/>
      <c r="E2" s="140"/>
      <c r="F2" s="140"/>
      <c r="G2" s="140"/>
      <c r="H2" s="140"/>
      <c r="I2" s="140"/>
      <c r="J2" s="141" t="s">
        <v>301</v>
      </c>
    </row>
    <row r="3" spans="1:10">
      <c r="A3" s="139"/>
      <c r="B3" s="139"/>
      <c r="C3" s="139"/>
      <c r="D3" s="139"/>
      <c r="E3" s="139"/>
      <c r="F3" s="139"/>
      <c r="G3" s="139"/>
      <c r="H3" s="139"/>
      <c r="I3" s="139"/>
      <c r="J3" s="142"/>
    </row>
    <row r="4" spans="1:10" ht="50.1" customHeight="1">
      <c r="A4" s="26"/>
      <c r="B4" s="25" t="s">
        <v>145</v>
      </c>
      <c r="C4" s="137" t="s">
        <v>139</v>
      </c>
      <c r="D4" s="137"/>
      <c r="E4" s="136" t="s">
        <v>251</v>
      </c>
      <c r="F4" s="143"/>
      <c r="G4" s="22" t="str">
        <f>"Факт Январь-  " &amp; $J2 &amp; " 2023 г"</f>
        <v>Факт Январь-  Сентябрь 2023 г</v>
      </c>
      <c r="H4" s="22" t="str">
        <f>"Факт Январь-  " &amp; $J2 &amp; " 2024 г"</f>
        <v>Факт Январь-  Сентябрь 2024 г</v>
      </c>
      <c r="I4" s="136" t="s">
        <v>251</v>
      </c>
      <c r="J4" s="143"/>
    </row>
    <row r="5" spans="1:10" ht="24.95" customHeight="1">
      <c r="A5" s="26"/>
      <c r="B5" s="17"/>
      <c r="C5" s="21" t="str">
        <f>"Факт " &amp; $J2 &amp; "             2023 г"</f>
        <v>Факт Сентябрь             2023 г</v>
      </c>
      <c r="D5" s="21" t="str">
        <f>"Факт " &amp; $J2 &amp; "                  2024 г"</f>
        <v>Факт Сентябрь                  2024 г</v>
      </c>
      <c r="E5" s="18" t="s">
        <v>140</v>
      </c>
      <c r="F5" s="17" t="s">
        <v>4</v>
      </c>
      <c r="G5" s="21"/>
      <c r="H5" s="21"/>
      <c r="I5" s="18" t="s">
        <v>140</v>
      </c>
      <c r="J5" s="17" t="s">
        <v>4</v>
      </c>
    </row>
    <row r="6" spans="1:10">
      <c r="A6" s="26" t="s">
        <v>1</v>
      </c>
      <c r="B6" s="17" t="s">
        <v>12</v>
      </c>
      <c r="C6" s="18">
        <v>1</v>
      </c>
      <c r="D6" s="17">
        <v>2</v>
      </c>
      <c r="E6" s="18">
        <v>3</v>
      </c>
      <c r="F6" s="18">
        <v>4</v>
      </c>
      <c r="G6" s="17">
        <v>5</v>
      </c>
      <c r="H6" s="18">
        <v>6</v>
      </c>
      <c r="I6" s="18">
        <v>7</v>
      </c>
      <c r="J6" s="17">
        <v>8</v>
      </c>
    </row>
    <row r="7" spans="1:10" ht="24.95" customHeight="1">
      <c r="A7" s="17">
        <v>1</v>
      </c>
      <c r="B7" s="23" t="s">
        <v>155</v>
      </c>
      <c r="C7" s="96" t="str">
        <f>IF(C139+C29+C51+C73+C95+C117+C161+C183+C205+C227=0,"",C139+C29+C51+C73+C95+C117+C161+C183+C205+C227)</f>
        <v/>
      </c>
      <c r="D7" s="96">
        <f>IF(D139+D29+D51+D73+D95+D117+D161+D183+D205+D227=0,"",D139+D29+D51+D73+D95+D117+D161+D183+D205+D227)</f>
        <v>3</v>
      </c>
      <c r="E7" s="18" t="str">
        <f t="shared" ref="E7:E22" si="0">IF(AND(C7=0,D7=0),"",IFERROR(IF(OR(D7=0,D7=""),-C7,D7-C7),""))</f>
        <v/>
      </c>
      <c r="F7" s="84" t="str">
        <f t="shared" ref="F7:F22" si="1">IF(AND(D7=0,C7=0),"",IFERROR(IF(C7=0, D7, D7/C7),""))</f>
        <v/>
      </c>
      <c r="G7" s="96" t="str">
        <f>IF(G139+G29+G51+G73+G95+G117+G161+G183+G205+G227=0,"",G139+G29+G51+G73+G95+G117+G161+G183+G205+G227)</f>
        <v/>
      </c>
      <c r="H7" s="96">
        <f>IF(H139+H29+H51+H73+H95+H117+H161+H183+H205+H227=0,"",H139+H29+H51+H73+H95+H117+H161+H183+H205+H227)</f>
        <v>9</v>
      </c>
      <c r="I7" s="19" t="str">
        <f>IFERROR(IF(H7-G7, H7-G7,""),"")</f>
        <v/>
      </c>
      <c r="J7" s="42" t="str">
        <f>IFERROR(IF(H7/G7, H7/G7,""),"")</f>
        <v/>
      </c>
    </row>
    <row r="8" spans="1:10" ht="24.95" customHeight="1">
      <c r="A8" s="17">
        <v>2</v>
      </c>
      <c r="B8" s="24" t="s">
        <v>156</v>
      </c>
      <c r="C8" s="96" t="str">
        <f t="shared" ref="C8:D22" si="2">IF(C140+C30+C52+C74+C96+C118+C162+C184+C206+C228=0,"",C140+C30+C52+C74+C96+C118+C162+C184+C206+C228)</f>
        <v/>
      </c>
      <c r="D8" s="96">
        <f t="shared" si="2"/>
        <v>3</v>
      </c>
      <c r="E8" s="18" t="str">
        <f t="shared" si="0"/>
        <v/>
      </c>
      <c r="F8" s="84" t="str">
        <f t="shared" si="1"/>
        <v/>
      </c>
      <c r="G8" s="96" t="str">
        <f t="shared" ref="G8:H8" si="3">IF(G140+G30+G52+G74+G96+G118+G162+G184+G206+G228=0,"",G140+G30+G52+G74+G96+G118+G162+G184+G206+G228)</f>
        <v/>
      </c>
      <c r="H8" s="96">
        <f t="shared" si="3"/>
        <v>9</v>
      </c>
      <c r="I8" s="19" t="str">
        <f t="shared" ref="I8:I22" si="4">IFERROR(IF(H8-G8, H8-G8,""),"")</f>
        <v/>
      </c>
      <c r="J8" s="42" t="str">
        <f t="shared" ref="J8:J22" si="5">IFERROR(IF(H8/G8, H8/G8,""),"")</f>
        <v/>
      </c>
    </row>
    <row r="9" spans="1:10" ht="24.95" customHeight="1">
      <c r="A9" s="17">
        <v>3</v>
      </c>
      <c r="B9" s="85" t="s">
        <v>273</v>
      </c>
      <c r="C9" s="96" t="str">
        <f t="shared" si="2"/>
        <v/>
      </c>
      <c r="D9" s="96">
        <f t="shared" si="2"/>
        <v>400</v>
      </c>
      <c r="E9" s="18" t="str">
        <f t="shared" si="0"/>
        <v/>
      </c>
      <c r="F9" s="84" t="str">
        <f t="shared" si="1"/>
        <v/>
      </c>
      <c r="G9" s="96" t="str">
        <f t="shared" ref="G9:H9" si="6">IF(G141+G31+G53+G75+G97+G119+G163+G185+G207+G229=0,"",G141+G31+G53+G75+G97+G119+G163+G185+G207+G229)</f>
        <v/>
      </c>
      <c r="H9" s="96">
        <f t="shared" si="6"/>
        <v>471</v>
      </c>
      <c r="I9" s="19" t="str">
        <f t="shared" si="4"/>
        <v/>
      </c>
      <c r="J9" s="42" t="str">
        <f t="shared" si="5"/>
        <v/>
      </c>
    </row>
    <row r="10" spans="1:10" ht="24.95" customHeight="1">
      <c r="A10" s="17">
        <v>4</v>
      </c>
      <c r="B10" s="85" t="s">
        <v>274</v>
      </c>
      <c r="C10" s="96" t="str">
        <f t="shared" si="2"/>
        <v/>
      </c>
      <c r="D10" s="96">
        <f t="shared" si="2"/>
        <v>3</v>
      </c>
      <c r="E10" s="18" t="str">
        <f t="shared" si="0"/>
        <v/>
      </c>
      <c r="F10" s="84" t="str">
        <f t="shared" si="1"/>
        <v/>
      </c>
      <c r="G10" s="96" t="str">
        <f t="shared" ref="G10:H10" si="7">IF(G142+G32+G54+G76+G98+G120+G164+G186+G208+G230=0,"",G142+G32+G54+G76+G98+G120+G164+G186+G208+G230)</f>
        <v/>
      </c>
      <c r="H10" s="96">
        <f t="shared" si="7"/>
        <v>42</v>
      </c>
      <c r="I10" s="19" t="str">
        <f t="shared" si="4"/>
        <v/>
      </c>
      <c r="J10" s="42" t="str">
        <f t="shared" si="5"/>
        <v/>
      </c>
    </row>
    <row r="11" spans="1:10" ht="24.95" customHeight="1">
      <c r="A11" s="17">
        <v>5</v>
      </c>
      <c r="B11" s="15" t="s">
        <v>158</v>
      </c>
      <c r="C11" s="96" t="str">
        <f t="shared" si="2"/>
        <v/>
      </c>
      <c r="D11" s="96" t="str">
        <f t="shared" si="2"/>
        <v/>
      </c>
      <c r="E11" s="18" t="str">
        <f t="shared" si="0"/>
        <v/>
      </c>
      <c r="F11" s="84" t="str">
        <f t="shared" si="1"/>
        <v/>
      </c>
      <c r="G11" s="96" t="str">
        <f t="shared" ref="G11:H11" si="8">IF(G143+G33+G55+G77+G99+G121+G165+G187+G209+G231=0,"",G143+G33+G55+G77+G99+G121+G165+G187+G209+G231)</f>
        <v/>
      </c>
      <c r="H11" s="96">
        <f t="shared" si="8"/>
        <v>1</v>
      </c>
      <c r="I11" s="19" t="str">
        <f t="shared" si="4"/>
        <v/>
      </c>
      <c r="J11" s="42" t="str">
        <f t="shared" si="5"/>
        <v/>
      </c>
    </row>
    <row r="12" spans="1:10" ht="24.95" customHeight="1">
      <c r="A12" s="17">
        <v>6</v>
      </c>
      <c r="B12" s="73" t="s">
        <v>159</v>
      </c>
      <c r="C12" s="96" t="str">
        <f t="shared" si="2"/>
        <v/>
      </c>
      <c r="D12" s="96" t="str">
        <f t="shared" si="2"/>
        <v/>
      </c>
      <c r="E12" s="18" t="str">
        <f t="shared" si="0"/>
        <v/>
      </c>
      <c r="F12" s="84" t="str">
        <f t="shared" si="1"/>
        <v/>
      </c>
      <c r="G12" s="96" t="str">
        <f t="shared" ref="G12:H12" si="9">IF(G144+G34+G56+G78+G100+G122+G166+G188+G210+G232=0,"",G144+G34+G56+G78+G100+G122+G166+G188+G210+G232)</f>
        <v/>
      </c>
      <c r="H12" s="96" t="str">
        <f t="shared" si="9"/>
        <v/>
      </c>
      <c r="I12" s="19" t="str">
        <f t="shared" si="4"/>
        <v/>
      </c>
      <c r="J12" s="42" t="str">
        <f t="shared" si="5"/>
        <v/>
      </c>
    </row>
    <row r="13" spans="1:10" ht="24.95" customHeight="1">
      <c r="A13" s="17">
        <v>7</v>
      </c>
      <c r="B13" s="31" t="s">
        <v>160</v>
      </c>
      <c r="C13" s="96" t="str">
        <f t="shared" si="2"/>
        <v/>
      </c>
      <c r="D13" s="96">
        <f t="shared" si="2"/>
        <v>1</v>
      </c>
      <c r="E13" s="18" t="str">
        <f t="shared" si="0"/>
        <v/>
      </c>
      <c r="F13" s="84" t="str">
        <f t="shared" si="1"/>
        <v/>
      </c>
      <c r="G13" s="96" t="str">
        <f t="shared" ref="G13:H13" si="10">IF(G145+G35+G57+G79+G101+G123+G167+G189+G211+G233=0,"",G145+G35+G57+G79+G101+G123+G167+G189+G211+G233)</f>
        <v/>
      </c>
      <c r="H13" s="96">
        <f t="shared" si="10"/>
        <v>2</v>
      </c>
      <c r="I13" s="19" t="str">
        <f t="shared" si="4"/>
        <v/>
      </c>
      <c r="J13" s="42" t="str">
        <f t="shared" si="5"/>
        <v/>
      </c>
    </row>
    <row r="14" spans="1:10" ht="24.95" customHeight="1">
      <c r="A14" s="17">
        <v>8</v>
      </c>
      <c r="B14" s="31" t="s">
        <v>161</v>
      </c>
      <c r="C14" s="96" t="str">
        <f t="shared" si="2"/>
        <v/>
      </c>
      <c r="D14" s="96" t="str">
        <f t="shared" si="2"/>
        <v/>
      </c>
      <c r="E14" s="18" t="str">
        <f t="shared" si="0"/>
        <v/>
      </c>
      <c r="F14" s="84" t="str">
        <f t="shared" si="1"/>
        <v/>
      </c>
      <c r="G14" s="96" t="str">
        <f t="shared" ref="G14:H14" si="11">IF(G146+G36+G58+G80+G102+G124+G168+G190+G212+G234=0,"",G146+G36+G58+G80+G102+G124+G168+G190+G212+G234)</f>
        <v/>
      </c>
      <c r="H14" s="96" t="str">
        <f t="shared" si="11"/>
        <v/>
      </c>
      <c r="I14" s="19" t="str">
        <f t="shared" si="4"/>
        <v/>
      </c>
      <c r="J14" s="42" t="str">
        <f t="shared" si="5"/>
        <v/>
      </c>
    </row>
    <row r="15" spans="1:10" ht="24.95" customHeight="1">
      <c r="A15" s="17">
        <v>9</v>
      </c>
      <c r="B15" s="39" t="s">
        <v>257</v>
      </c>
      <c r="C15" s="96" t="str">
        <f t="shared" si="2"/>
        <v/>
      </c>
      <c r="D15" s="96">
        <f t="shared" si="2"/>
        <v>37</v>
      </c>
      <c r="E15" s="18" t="str">
        <f t="shared" si="0"/>
        <v/>
      </c>
      <c r="F15" s="84" t="str">
        <f t="shared" si="1"/>
        <v/>
      </c>
      <c r="G15" s="96" t="str">
        <f t="shared" ref="G15:H15" si="12">IF(G147+G37+G59+G81+G103+G125+G169+G191+G213+G235=0,"",G147+G37+G59+G81+G103+G125+G169+G191+G213+G235)</f>
        <v/>
      </c>
      <c r="H15" s="96">
        <f t="shared" si="12"/>
        <v>209</v>
      </c>
      <c r="I15" s="19" t="str">
        <f t="shared" si="4"/>
        <v/>
      </c>
      <c r="J15" s="42" t="str">
        <f t="shared" si="5"/>
        <v/>
      </c>
    </row>
    <row r="16" spans="1:10" ht="24.95" customHeight="1">
      <c r="A16" s="17">
        <v>10</v>
      </c>
      <c r="B16" s="24" t="s">
        <v>156</v>
      </c>
      <c r="C16" s="96" t="str">
        <f t="shared" si="2"/>
        <v/>
      </c>
      <c r="D16" s="96">
        <f t="shared" si="2"/>
        <v>37</v>
      </c>
      <c r="E16" s="18" t="str">
        <f t="shared" si="0"/>
        <v/>
      </c>
      <c r="F16" s="84" t="str">
        <f t="shared" si="1"/>
        <v/>
      </c>
      <c r="G16" s="96" t="str">
        <f t="shared" ref="G16:H16" si="13">IF(G148+G38+G60+G82+G104+G126+G170+G192+G214+G236=0,"",G148+G38+G60+G82+G104+G126+G170+G192+G214+G236)</f>
        <v/>
      </c>
      <c r="H16" s="96">
        <f t="shared" si="13"/>
        <v>252</v>
      </c>
      <c r="I16" s="19" t="str">
        <f t="shared" si="4"/>
        <v/>
      </c>
      <c r="J16" s="42" t="str">
        <f t="shared" si="5"/>
        <v/>
      </c>
    </row>
    <row r="17" spans="1:10" ht="24.95" customHeight="1">
      <c r="A17" s="17">
        <v>11</v>
      </c>
      <c r="B17" s="24" t="s">
        <v>273</v>
      </c>
      <c r="C17" s="96" t="str">
        <f t="shared" si="2"/>
        <v/>
      </c>
      <c r="D17" s="96">
        <f t="shared" si="2"/>
        <v>47949.5</v>
      </c>
      <c r="E17" s="18" t="str">
        <f t="shared" si="0"/>
        <v/>
      </c>
      <c r="F17" s="84" t="str">
        <f t="shared" si="1"/>
        <v/>
      </c>
      <c r="G17" s="96" t="str">
        <f t="shared" ref="G17:H17" si="14">IF(G149+G39+G61+G83+G105+G127+G171+G193+G215+G237=0,"",G149+G39+G61+G83+G105+G127+G171+G193+G215+G237)</f>
        <v/>
      </c>
      <c r="H17" s="96">
        <f t="shared" si="14"/>
        <v>14648</v>
      </c>
      <c r="I17" s="19" t="str">
        <f t="shared" si="4"/>
        <v/>
      </c>
      <c r="J17" s="42" t="str">
        <f t="shared" si="5"/>
        <v/>
      </c>
    </row>
    <row r="18" spans="1:10" ht="24.95" customHeight="1">
      <c r="A18" s="17">
        <v>12</v>
      </c>
      <c r="B18" s="24" t="s">
        <v>274</v>
      </c>
      <c r="C18" s="96" t="str">
        <f t="shared" si="2"/>
        <v/>
      </c>
      <c r="D18" s="96">
        <f t="shared" si="2"/>
        <v>73</v>
      </c>
      <c r="E18" s="18" t="str">
        <f t="shared" si="0"/>
        <v/>
      </c>
      <c r="F18" s="84" t="str">
        <f t="shared" si="1"/>
        <v/>
      </c>
      <c r="G18" s="96" t="str">
        <f t="shared" ref="G18:H18" si="15">IF(G150+G40+G62+G84+G106+G128+G172+G194+G216+G238=0,"",G150+G40+G62+G84+G106+G128+G172+G194+G216+G238)</f>
        <v/>
      </c>
      <c r="H18" s="96">
        <f t="shared" si="15"/>
        <v>250</v>
      </c>
      <c r="I18" s="19" t="str">
        <f t="shared" si="4"/>
        <v/>
      </c>
      <c r="J18" s="42" t="str">
        <f t="shared" si="5"/>
        <v/>
      </c>
    </row>
    <row r="19" spans="1:10" ht="24.95" customHeight="1">
      <c r="A19" s="17">
        <v>13</v>
      </c>
      <c r="B19" s="24" t="s">
        <v>158</v>
      </c>
      <c r="C19" s="96" t="str">
        <f t="shared" si="2"/>
        <v/>
      </c>
      <c r="D19" s="96">
        <f t="shared" si="2"/>
        <v>2</v>
      </c>
      <c r="E19" s="18" t="str">
        <f t="shared" si="0"/>
        <v/>
      </c>
      <c r="F19" s="84" t="str">
        <f t="shared" si="1"/>
        <v/>
      </c>
      <c r="G19" s="96" t="str">
        <f t="shared" ref="G19:H19" si="16">IF(G151+G41+G63+G85+G107+G129+G173+G195+G217+G239=0,"",G151+G41+G63+G85+G107+G129+G173+G195+G217+G239)</f>
        <v/>
      </c>
      <c r="H19" s="96">
        <f t="shared" si="16"/>
        <v>15</v>
      </c>
      <c r="I19" s="19" t="str">
        <f t="shared" si="4"/>
        <v/>
      </c>
      <c r="J19" s="42" t="str">
        <f t="shared" si="5"/>
        <v/>
      </c>
    </row>
    <row r="20" spans="1:10" ht="24.95" customHeight="1">
      <c r="A20" s="17">
        <v>14</v>
      </c>
      <c r="B20" s="38" t="s">
        <v>159</v>
      </c>
      <c r="C20" s="96" t="str">
        <f t="shared" si="2"/>
        <v/>
      </c>
      <c r="D20" s="96">
        <f t="shared" si="2"/>
        <v>2</v>
      </c>
      <c r="E20" s="18" t="str">
        <f t="shared" si="0"/>
        <v/>
      </c>
      <c r="F20" s="84" t="str">
        <f t="shared" si="1"/>
        <v/>
      </c>
      <c r="G20" s="96" t="str">
        <f t="shared" ref="G20:H20" si="17">IF(G152+G42+G64+G86+G108+G130+G174+G196+G218+G240=0,"",G152+G42+G64+G86+G108+G130+G174+G196+G218+G240)</f>
        <v/>
      </c>
      <c r="H20" s="96">
        <f t="shared" si="17"/>
        <v>15</v>
      </c>
      <c r="I20" s="19" t="str">
        <f t="shared" si="4"/>
        <v/>
      </c>
      <c r="J20" s="42" t="str">
        <f t="shared" si="5"/>
        <v/>
      </c>
    </row>
    <row r="21" spans="1:10" ht="24.95" customHeight="1">
      <c r="A21" s="17">
        <v>15</v>
      </c>
      <c r="B21" s="31" t="s">
        <v>160</v>
      </c>
      <c r="C21" s="96" t="str">
        <f t="shared" si="2"/>
        <v/>
      </c>
      <c r="D21" s="96">
        <f t="shared" si="2"/>
        <v>5</v>
      </c>
      <c r="E21" s="18" t="str">
        <f t="shared" si="0"/>
        <v/>
      </c>
      <c r="F21" s="84" t="str">
        <f t="shared" si="1"/>
        <v/>
      </c>
      <c r="G21" s="96" t="str">
        <f t="shared" ref="G21:H21" si="18">IF(G153+G43+G65+G87+G109+G131+G175+G197+G219+G241=0,"",G153+G43+G65+G87+G109+G131+G175+G197+G219+G241)</f>
        <v/>
      </c>
      <c r="H21" s="96">
        <f t="shared" si="18"/>
        <v>21</v>
      </c>
      <c r="I21" s="19" t="str">
        <f t="shared" si="4"/>
        <v/>
      </c>
      <c r="J21" s="42" t="str">
        <f t="shared" si="5"/>
        <v/>
      </c>
    </row>
    <row r="22" spans="1:10" ht="24.95" customHeight="1">
      <c r="A22" s="17">
        <v>16</v>
      </c>
      <c r="B22" s="15" t="s">
        <v>161</v>
      </c>
      <c r="C22" s="96" t="str">
        <f t="shared" si="2"/>
        <v/>
      </c>
      <c r="D22" s="96">
        <f t="shared" si="2"/>
        <v>1</v>
      </c>
      <c r="E22" s="18" t="str">
        <f t="shared" si="0"/>
        <v/>
      </c>
      <c r="F22" s="84" t="str">
        <f t="shared" si="1"/>
        <v/>
      </c>
      <c r="G22" s="96" t="str">
        <f t="shared" ref="G22:H22" si="19">IF(G154+G44+G66+G88+G110+G132+G176+G198+G220+G242=0,"",G154+G44+G66+G88+G110+G132+G176+G198+G220+G242)</f>
        <v/>
      </c>
      <c r="H22" s="96">
        <f t="shared" si="19"/>
        <v>10</v>
      </c>
      <c r="I22" s="19" t="str">
        <f t="shared" si="4"/>
        <v/>
      </c>
      <c r="J22" s="42" t="str">
        <f t="shared" si="5"/>
        <v/>
      </c>
    </row>
    <row r="23" spans="1:10" ht="24.95" customHeight="1">
      <c r="A23" s="86"/>
      <c r="B23" s="87"/>
      <c r="C23" s="88"/>
      <c r="D23" s="88"/>
      <c r="E23" s="89"/>
      <c r="F23" s="89"/>
      <c r="G23" s="88"/>
      <c r="H23" s="88"/>
      <c r="I23" s="89"/>
      <c r="J23" s="89"/>
    </row>
    <row r="24" spans="1:10">
      <c r="A24" s="138" t="s">
        <v>243</v>
      </c>
      <c r="B24" s="138"/>
      <c r="C24" s="138"/>
      <c r="D24" s="138"/>
      <c r="E24" s="138"/>
      <c r="F24" s="138"/>
      <c r="G24" s="138"/>
      <c r="H24" s="138"/>
      <c r="I24" s="138"/>
      <c r="J24" s="138"/>
    </row>
    <row r="25" spans="1:10">
      <c r="A25" s="139"/>
      <c r="B25" s="139"/>
      <c r="C25" s="139"/>
      <c r="D25" s="139"/>
      <c r="E25" s="139"/>
      <c r="F25" s="139"/>
      <c r="G25" s="139"/>
      <c r="H25" s="139"/>
      <c r="I25" s="139"/>
      <c r="J25" s="139"/>
    </row>
    <row r="26" spans="1:10" ht="50.1" customHeight="1">
      <c r="A26" s="26"/>
      <c r="B26" s="66" t="s">
        <v>145</v>
      </c>
      <c r="C26" s="136"/>
      <c r="D26" s="136"/>
      <c r="E26" s="137" t="s">
        <v>251</v>
      </c>
      <c r="F26" s="137"/>
      <c r="G26" s="66" t="str">
        <f>"Факт Январь-  " &amp; $J2 &amp; " 2023 г"</f>
        <v>Факт Январь-  Сентябрь 2023 г</v>
      </c>
      <c r="H26" s="66" t="str">
        <f>"Факт Январь-  " &amp; $J2 &amp; " 2024 г"</f>
        <v>Факт Январь-  Сентябрь 2024 г</v>
      </c>
      <c r="I26" s="137" t="s">
        <v>251</v>
      </c>
      <c r="J26" s="137"/>
    </row>
    <row r="27" spans="1:10" ht="22.5">
      <c r="A27" s="26"/>
      <c r="B27" s="17"/>
      <c r="C27" s="21" t="str">
        <f>"Факт " &amp; $J$2&amp; "                 2023 г"</f>
        <v>Факт Сентябрь                 2023 г</v>
      </c>
      <c r="D27" s="21" t="str">
        <f>"Факт " &amp; $J2 &amp; "               2024 г"</f>
        <v>Факт Сентябрь               2024 г</v>
      </c>
      <c r="E27" s="18" t="s">
        <v>140</v>
      </c>
      <c r="F27" s="17" t="s">
        <v>4</v>
      </c>
      <c r="G27" s="21"/>
      <c r="H27" s="21"/>
      <c r="I27" s="18" t="s">
        <v>140</v>
      </c>
      <c r="J27" s="17" t="s">
        <v>4</v>
      </c>
    </row>
    <row r="28" spans="1:10">
      <c r="A28" s="26" t="s">
        <v>1</v>
      </c>
      <c r="B28" s="17" t="s">
        <v>12</v>
      </c>
      <c r="C28" s="18">
        <v>1</v>
      </c>
      <c r="D28" s="17">
        <v>2</v>
      </c>
      <c r="E28" s="18">
        <v>3</v>
      </c>
      <c r="F28" s="18">
        <v>4</v>
      </c>
      <c r="G28" s="17">
        <v>5</v>
      </c>
      <c r="H28" s="18">
        <v>6</v>
      </c>
      <c r="I28" s="18">
        <v>7</v>
      </c>
      <c r="J28" s="17">
        <v>8</v>
      </c>
    </row>
    <row r="29" spans="1:10" ht="24.95" customHeight="1">
      <c r="A29" s="17">
        <v>1</v>
      </c>
      <c r="B29" s="23" t="s">
        <v>155</v>
      </c>
      <c r="C29" s="113"/>
      <c r="D29" s="83">
        <v>1</v>
      </c>
      <c r="E29" s="18">
        <f t="shared" ref="E29" si="20">IF(AND(C29=0,D29=0),"",IFERROR(IF(OR(D29=0,D29=""),-C29,D29-C29),""))</f>
        <v>1</v>
      </c>
      <c r="F29" s="84">
        <f t="shared" ref="F29" si="21">IF(AND(D29=0,C29=0),"",IFERROR(IF(C29=0, D29, D29/C29),""))</f>
        <v>1</v>
      </c>
      <c r="G29" s="83"/>
      <c r="H29" s="83">
        <v>2</v>
      </c>
      <c r="I29" s="18">
        <f t="shared" ref="I29:I44" si="22">IF(AND(G29=0,H29=0),"",IFERROR(IF(OR(H29=0,H29=""),-G29,H29-G29),""))</f>
        <v>2</v>
      </c>
      <c r="J29" s="84">
        <f t="shared" ref="J29:J44" si="23">IF(AND(H29=0,G29=0),"",IFERROR(IF(G29=0, H29, H29/G29),""))</f>
        <v>2</v>
      </c>
    </row>
    <row r="30" spans="1:10" ht="24.95" customHeight="1">
      <c r="A30" s="17">
        <v>2</v>
      </c>
      <c r="B30" s="24" t="s">
        <v>156</v>
      </c>
      <c r="C30" s="83"/>
      <c r="D30" s="83">
        <v>1</v>
      </c>
      <c r="E30" s="18">
        <f t="shared" ref="E30:E44" si="24">IF(AND(C30=0,D30=0),"",IFERROR(IF(OR(D30=0,D30=""),-C30,D30-C30),""))</f>
        <v>1</v>
      </c>
      <c r="F30" s="84">
        <f t="shared" ref="F30:F44" si="25">IF(AND(D30=0,C30=0),"",IFERROR(IF(C30=0, D30, D30/C30),""))</f>
        <v>1</v>
      </c>
      <c r="G30" s="83"/>
      <c r="H30" s="83">
        <v>2</v>
      </c>
      <c r="I30" s="18">
        <f t="shared" si="22"/>
        <v>2</v>
      </c>
      <c r="J30" s="84">
        <f t="shared" si="23"/>
        <v>2</v>
      </c>
    </row>
    <row r="31" spans="1:10" ht="24.95" customHeight="1">
      <c r="A31" s="17">
        <v>3</v>
      </c>
      <c r="B31" s="85" t="s">
        <v>273</v>
      </c>
      <c r="C31" s="83"/>
      <c r="D31" s="83"/>
      <c r="E31" s="18" t="str">
        <f t="shared" si="24"/>
        <v/>
      </c>
      <c r="F31" s="84" t="str">
        <f t="shared" si="25"/>
        <v/>
      </c>
      <c r="G31" s="83"/>
      <c r="H31" s="83">
        <v>51</v>
      </c>
      <c r="I31" s="18">
        <f t="shared" si="22"/>
        <v>51</v>
      </c>
      <c r="J31" s="84">
        <f t="shared" si="23"/>
        <v>51</v>
      </c>
    </row>
    <row r="32" spans="1:10" ht="24.95" customHeight="1">
      <c r="A32" s="17">
        <v>4</v>
      </c>
      <c r="B32" s="85" t="s">
        <v>274</v>
      </c>
      <c r="C32" s="83"/>
      <c r="D32" s="83">
        <v>1</v>
      </c>
      <c r="E32" s="18">
        <f t="shared" si="24"/>
        <v>1</v>
      </c>
      <c r="F32" s="84">
        <f t="shared" si="25"/>
        <v>1</v>
      </c>
      <c r="G32" s="83"/>
      <c r="H32" s="83">
        <v>35</v>
      </c>
      <c r="I32" s="18">
        <f t="shared" si="22"/>
        <v>35</v>
      </c>
      <c r="J32" s="84">
        <f t="shared" si="23"/>
        <v>35</v>
      </c>
    </row>
    <row r="33" spans="1:10" ht="24.95" customHeight="1">
      <c r="A33" s="17">
        <v>5</v>
      </c>
      <c r="B33" s="15" t="s">
        <v>158</v>
      </c>
      <c r="C33" s="83"/>
      <c r="D33" s="83"/>
      <c r="E33" s="18" t="str">
        <f t="shared" si="24"/>
        <v/>
      </c>
      <c r="F33" s="84" t="str">
        <f t="shared" si="25"/>
        <v/>
      </c>
      <c r="G33" s="83"/>
      <c r="H33" s="83"/>
      <c r="I33" s="18" t="str">
        <f t="shared" si="22"/>
        <v/>
      </c>
      <c r="J33" s="84" t="str">
        <f t="shared" si="23"/>
        <v/>
      </c>
    </row>
    <row r="34" spans="1:10" ht="24.95" customHeight="1">
      <c r="A34" s="17">
        <v>6</v>
      </c>
      <c r="B34" s="73" t="s">
        <v>159</v>
      </c>
      <c r="C34" s="83"/>
      <c r="D34" s="83"/>
      <c r="E34" s="18" t="str">
        <f t="shared" si="24"/>
        <v/>
      </c>
      <c r="F34" s="84" t="str">
        <f t="shared" si="25"/>
        <v/>
      </c>
      <c r="G34" s="83"/>
      <c r="H34" s="83"/>
      <c r="I34" s="18" t="str">
        <f t="shared" si="22"/>
        <v/>
      </c>
      <c r="J34" s="84" t="str">
        <f t="shared" si="23"/>
        <v/>
      </c>
    </row>
    <row r="35" spans="1:10" ht="24.95" customHeight="1">
      <c r="A35" s="69">
        <v>7</v>
      </c>
      <c r="B35" s="31" t="s">
        <v>160</v>
      </c>
      <c r="C35" s="83"/>
      <c r="D35" s="83">
        <v>1</v>
      </c>
      <c r="E35" s="18">
        <f t="shared" si="24"/>
        <v>1</v>
      </c>
      <c r="F35" s="84">
        <f t="shared" si="25"/>
        <v>1</v>
      </c>
      <c r="G35" s="83"/>
      <c r="H35" s="83"/>
      <c r="I35" s="18" t="str">
        <f t="shared" si="22"/>
        <v/>
      </c>
      <c r="J35" s="84" t="str">
        <f t="shared" si="23"/>
        <v/>
      </c>
    </row>
    <row r="36" spans="1:10" ht="24.95" customHeight="1">
      <c r="A36" s="69">
        <v>8</v>
      </c>
      <c r="B36" s="31" t="s">
        <v>161</v>
      </c>
      <c r="C36" s="83"/>
      <c r="D36" s="83"/>
      <c r="E36" s="18" t="str">
        <f t="shared" si="24"/>
        <v/>
      </c>
      <c r="F36" s="84" t="str">
        <f t="shared" si="25"/>
        <v/>
      </c>
      <c r="G36" s="83"/>
      <c r="H36" s="83"/>
      <c r="I36" s="18" t="str">
        <f t="shared" si="22"/>
        <v/>
      </c>
      <c r="J36" s="84" t="str">
        <f t="shared" si="23"/>
        <v/>
      </c>
    </row>
    <row r="37" spans="1:10" ht="24.95" customHeight="1">
      <c r="A37" s="17">
        <v>9</v>
      </c>
      <c r="B37" s="39" t="s">
        <v>257</v>
      </c>
      <c r="C37" s="83"/>
      <c r="D37" s="83"/>
      <c r="E37" s="18" t="str">
        <f t="shared" si="24"/>
        <v/>
      </c>
      <c r="F37" s="84" t="str">
        <f t="shared" si="25"/>
        <v/>
      </c>
      <c r="G37" s="83"/>
      <c r="H37" s="83">
        <v>5</v>
      </c>
      <c r="I37" s="18">
        <f t="shared" si="22"/>
        <v>5</v>
      </c>
      <c r="J37" s="84">
        <f t="shared" si="23"/>
        <v>5</v>
      </c>
    </row>
    <row r="38" spans="1:10" ht="24.95" customHeight="1">
      <c r="A38" s="17">
        <v>10</v>
      </c>
      <c r="B38" s="24" t="s">
        <v>156</v>
      </c>
      <c r="C38" s="83"/>
      <c r="D38" s="83"/>
      <c r="E38" s="18" t="str">
        <f t="shared" si="24"/>
        <v/>
      </c>
      <c r="F38" s="84" t="str">
        <f t="shared" si="25"/>
        <v/>
      </c>
      <c r="G38" s="83"/>
      <c r="H38" s="83"/>
      <c r="I38" s="18" t="str">
        <f t="shared" si="22"/>
        <v/>
      </c>
      <c r="J38" s="84" t="str">
        <f t="shared" si="23"/>
        <v/>
      </c>
    </row>
    <row r="39" spans="1:10" ht="24.95" customHeight="1">
      <c r="A39" s="17">
        <v>11</v>
      </c>
      <c r="B39" s="24" t="s">
        <v>273</v>
      </c>
      <c r="C39" s="83"/>
      <c r="D39" s="83"/>
      <c r="E39" s="18" t="str">
        <f t="shared" si="24"/>
        <v/>
      </c>
      <c r="F39" s="84" t="str">
        <f t="shared" si="25"/>
        <v/>
      </c>
      <c r="G39" s="83"/>
      <c r="H39" s="83">
        <v>449</v>
      </c>
      <c r="I39" s="18">
        <f t="shared" si="22"/>
        <v>449</v>
      </c>
      <c r="J39" s="84">
        <f t="shared" si="23"/>
        <v>449</v>
      </c>
    </row>
    <row r="40" spans="1:10" ht="24.95" customHeight="1">
      <c r="A40" s="17">
        <v>12</v>
      </c>
      <c r="B40" s="24" t="s">
        <v>274</v>
      </c>
      <c r="C40" s="83"/>
      <c r="D40" s="83"/>
      <c r="E40" s="18" t="str">
        <f t="shared" si="24"/>
        <v/>
      </c>
      <c r="F40" s="84" t="str">
        <f t="shared" si="25"/>
        <v/>
      </c>
      <c r="G40" s="83"/>
      <c r="H40" s="83">
        <v>6</v>
      </c>
      <c r="I40" s="18">
        <f t="shared" si="22"/>
        <v>6</v>
      </c>
      <c r="J40" s="84">
        <f t="shared" si="23"/>
        <v>6</v>
      </c>
    </row>
    <row r="41" spans="1:10" ht="24.95" customHeight="1">
      <c r="A41" s="17">
        <v>13</v>
      </c>
      <c r="B41" s="24" t="s">
        <v>158</v>
      </c>
      <c r="C41" s="83"/>
      <c r="D41" s="83"/>
      <c r="E41" s="18" t="str">
        <f t="shared" si="24"/>
        <v/>
      </c>
      <c r="F41" s="84" t="str">
        <f t="shared" si="25"/>
        <v/>
      </c>
      <c r="G41" s="83"/>
      <c r="H41" s="83"/>
      <c r="I41" s="18" t="str">
        <f t="shared" si="22"/>
        <v/>
      </c>
      <c r="J41" s="84" t="str">
        <f t="shared" si="23"/>
        <v/>
      </c>
    </row>
    <row r="42" spans="1:10" ht="24.95" customHeight="1">
      <c r="A42" s="17">
        <v>14</v>
      </c>
      <c r="B42" s="38" t="s">
        <v>159</v>
      </c>
      <c r="C42" s="83"/>
      <c r="D42" s="83"/>
      <c r="E42" s="18" t="str">
        <f t="shared" si="24"/>
        <v/>
      </c>
      <c r="F42" s="84" t="str">
        <f t="shared" si="25"/>
        <v/>
      </c>
      <c r="G42" s="83"/>
      <c r="H42" s="83"/>
      <c r="I42" s="18" t="str">
        <f t="shared" si="22"/>
        <v/>
      </c>
      <c r="J42" s="84" t="str">
        <f t="shared" si="23"/>
        <v/>
      </c>
    </row>
    <row r="43" spans="1:10" ht="24.95" customHeight="1">
      <c r="A43" s="69">
        <v>15</v>
      </c>
      <c r="B43" s="31" t="s">
        <v>160</v>
      </c>
      <c r="C43" s="83"/>
      <c r="D43" s="83">
        <v>5</v>
      </c>
      <c r="E43" s="18">
        <f t="shared" si="24"/>
        <v>5</v>
      </c>
      <c r="F43" s="84">
        <f t="shared" si="25"/>
        <v>5</v>
      </c>
      <c r="G43" s="83"/>
      <c r="H43" s="83">
        <v>5</v>
      </c>
      <c r="I43" s="18">
        <f t="shared" si="22"/>
        <v>5</v>
      </c>
      <c r="J43" s="84">
        <f t="shared" si="23"/>
        <v>5</v>
      </c>
    </row>
    <row r="44" spans="1:10" ht="24.95" customHeight="1">
      <c r="A44" s="17">
        <v>16</v>
      </c>
      <c r="B44" s="15" t="s">
        <v>161</v>
      </c>
      <c r="C44" s="83"/>
      <c r="D44" s="83"/>
      <c r="E44" s="18" t="str">
        <f t="shared" si="24"/>
        <v/>
      </c>
      <c r="F44" s="84" t="str">
        <f t="shared" si="25"/>
        <v/>
      </c>
      <c r="G44" s="83"/>
      <c r="H44" s="83"/>
      <c r="I44" s="18" t="str">
        <f t="shared" si="22"/>
        <v/>
      </c>
      <c r="J44" s="84" t="str">
        <f t="shared" si="23"/>
        <v/>
      </c>
    </row>
    <row r="45" spans="1:10" ht="24.95" customHeight="1">
      <c r="A45" s="86"/>
      <c r="B45" s="87"/>
      <c r="C45" s="90"/>
      <c r="D45" s="90"/>
      <c r="E45" s="89"/>
      <c r="F45" s="91"/>
      <c r="G45" s="90"/>
      <c r="H45" s="90"/>
      <c r="I45" s="89"/>
      <c r="J45" s="91"/>
    </row>
    <row r="46" spans="1:10">
      <c r="A46" s="138" t="s">
        <v>244</v>
      </c>
      <c r="B46" s="138"/>
      <c r="C46" s="138"/>
      <c r="D46" s="138"/>
      <c r="E46" s="138"/>
      <c r="F46" s="138"/>
      <c r="G46" s="138"/>
      <c r="H46" s="138"/>
      <c r="I46" s="138"/>
      <c r="J46" s="138"/>
    </row>
    <row r="47" spans="1:10">
      <c r="A47" s="139"/>
      <c r="B47" s="139"/>
      <c r="C47" s="139"/>
      <c r="D47" s="139"/>
      <c r="E47" s="139"/>
      <c r="F47" s="139"/>
      <c r="G47" s="139"/>
      <c r="H47" s="139"/>
      <c r="I47" s="139"/>
      <c r="J47" s="139"/>
    </row>
    <row r="48" spans="1:10" ht="50.1" customHeight="1">
      <c r="A48" s="26"/>
      <c r="B48" s="66" t="s">
        <v>145</v>
      </c>
      <c r="C48" s="136"/>
      <c r="D48" s="136"/>
      <c r="E48" s="137" t="s">
        <v>251</v>
      </c>
      <c r="F48" s="137"/>
      <c r="G48" s="66" t="str">
        <f>"Факт Январь-  " &amp; $J2 &amp; " 2023 г"</f>
        <v>Факт Январь-  Сентябрь 2023 г</v>
      </c>
      <c r="H48" s="66" t="str">
        <f>"Факт Январь-  " &amp; $J2 &amp; " 2024 г"</f>
        <v>Факт Январь-  Сентябрь 2024 г</v>
      </c>
      <c r="I48" s="137" t="s">
        <v>251</v>
      </c>
      <c r="J48" s="137"/>
    </row>
    <row r="49" spans="1:10" ht="22.5">
      <c r="A49" s="26"/>
      <c r="B49" s="17"/>
      <c r="C49" s="21" t="str">
        <f>"Факт " &amp; $J2 &amp; "               2023 г"</f>
        <v>Факт Сентябрь               2023 г</v>
      </c>
      <c r="D49" s="21" t="str">
        <f>"Факт " &amp; $J2 &amp; "                 2024 г"</f>
        <v>Факт Сентябрь                 2024 г</v>
      </c>
      <c r="E49" s="18" t="s">
        <v>140</v>
      </c>
      <c r="F49" s="17" t="s">
        <v>4</v>
      </c>
      <c r="G49" s="21"/>
      <c r="H49" s="21"/>
      <c r="I49" s="18" t="s">
        <v>140</v>
      </c>
      <c r="J49" s="17" t="s">
        <v>4</v>
      </c>
    </row>
    <row r="50" spans="1:10">
      <c r="A50" s="26" t="s">
        <v>1</v>
      </c>
      <c r="B50" s="17" t="s">
        <v>12</v>
      </c>
      <c r="C50" s="18">
        <v>1</v>
      </c>
      <c r="D50" s="18">
        <v>2</v>
      </c>
      <c r="E50" s="17">
        <v>3</v>
      </c>
      <c r="F50" s="18">
        <v>4</v>
      </c>
      <c r="G50" s="18">
        <v>5</v>
      </c>
      <c r="H50" s="17">
        <v>6</v>
      </c>
      <c r="I50" s="18">
        <v>7</v>
      </c>
      <c r="J50" s="18">
        <v>8</v>
      </c>
    </row>
    <row r="51" spans="1:10" ht="24.95" customHeight="1">
      <c r="A51" s="17">
        <v>1</v>
      </c>
      <c r="B51" s="23" t="s">
        <v>155</v>
      </c>
      <c r="C51" s="113"/>
      <c r="D51" s="83">
        <v>1</v>
      </c>
      <c r="E51" s="18">
        <f t="shared" ref="E51:E66" si="26">IF(AND(C51=0,D51=0),"",IFERROR(IF(OR(D51=0,D51=""),-C51,D51-C51),""))</f>
        <v>1</v>
      </c>
      <c r="F51" s="84">
        <f t="shared" ref="F51:F66" si="27">IF(AND(D51=0,C51=0),"",IFERROR(IF(C51=0, D51, D51/C51),""))</f>
        <v>1</v>
      </c>
      <c r="G51" s="83"/>
      <c r="H51" s="83">
        <v>1</v>
      </c>
      <c r="I51" s="18">
        <f t="shared" ref="I51:I66" si="28">IF(AND(G51=0,H51=0),"",IFERROR(IF(OR(H51=0,H51=""),-G51,H51-G51),""))</f>
        <v>1</v>
      </c>
      <c r="J51" s="84">
        <f t="shared" ref="J51:J66" si="29">IF(AND(H51=0,G51=0),"",IFERROR(IF(G51=0, H51, H51/G51),""))</f>
        <v>1</v>
      </c>
    </row>
    <row r="52" spans="1:10" ht="24.95" customHeight="1">
      <c r="A52" s="17">
        <v>2</v>
      </c>
      <c r="B52" s="24" t="s">
        <v>156</v>
      </c>
      <c r="C52" s="83"/>
      <c r="D52" s="83">
        <v>1</v>
      </c>
      <c r="E52" s="18">
        <f t="shared" si="26"/>
        <v>1</v>
      </c>
      <c r="F52" s="84">
        <f t="shared" si="27"/>
        <v>1</v>
      </c>
      <c r="G52" s="83"/>
      <c r="H52" s="83">
        <v>1</v>
      </c>
      <c r="I52" s="18">
        <f t="shared" si="28"/>
        <v>1</v>
      </c>
      <c r="J52" s="84">
        <f t="shared" si="29"/>
        <v>1</v>
      </c>
    </row>
    <row r="53" spans="1:10" ht="24.95" customHeight="1">
      <c r="A53" s="17">
        <v>3</v>
      </c>
      <c r="B53" s="85" t="s">
        <v>273</v>
      </c>
      <c r="C53" s="83"/>
      <c r="D53" s="83">
        <v>200</v>
      </c>
      <c r="E53" s="18">
        <f t="shared" si="26"/>
        <v>200</v>
      </c>
      <c r="F53" s="84">
        <f t="shared" si="27"/>
        <v>200</v>
      </c>
      <c r="G53" s="83"/>
      <c r="H53" s="83">
        <v>200</v>
      </c>
      <c r="I53" s="18">
        <f t="shared" si="28"/>
        <v>200</v>
      </c>
      <c r="J53" s="84">
        <f t="shared" si="29"/>
        <v>200</v>
      </c>
    </row>
    <row r="54" spans="1:10" ht="24.95" customHeight="1">
      <c r="A54" s="17">
        <v>4</v>
      </c>
      <c r="B54" s="85" t="s">
        <v>274</v>
      </c>
      <c r="C54" s="83"/>
      <c r="D54" s="83">
        <v>1</v>
      </c>
      <c r="E54" s="18">
        <f t="shared" si="26"/>
        <v>1</v>
      </c>
      <c r="F54" s="84">
        <f t="shared" si="27"/>
        <v>1</v>
      </c>
      <c r="G54" s="83"/>
      <c r="H54" s="83">
        <v>1</v>
      </c>
      <c r="I54" s="18">
        <f t="shared" si="28"/>
        <v>1</v>
      </c>
      <c r="J54" s="84">
        <f t="shared" si="29"/>
        <v>1</v>
      </c>
    </row>
    <row r="55" spans="1:10" ht="24.95" customHeight="1">
      <c r="A55" s="17">
        <v>5</v>
      </c>
      <c r="B55" s="15" t="s">
        <v>158</v>
      </c>
      <c r="C55" s="83"/>
      <c r="D55" s="83"/>
      <c r="E55" s="18" t="str">
        <f t="shared" si="26"/>
        <v/>
      </c>
      <c r="F55" s="84" t="str">
        <f t="shared" si="27"/>
        <v/>
      </c>
      <c r="G55" s="83"/>
      <c r="H55" s="83"/>
      <c r="I55" s="18" t="str">
        <f t="shared" si="28"/>
        <v/>
      </c>
      <c r="J55" s="84" t="str">
        <f t="shared" si="29"/>
        <v/>
      </c>
    </row>
    <row r="56" spans="1:10" ht="24.95" customHeight="1">
      <c r="A56" s="17">
        <v>6</v>
      </c>
      <c r="B56" s="73" t="s">
        <v>159</v>
      </c>
      <c r="C56" s="83"/>
      <c r="D56" s="83"/>
      <c r="E56" s="18" t="str">
        <f t="shared" si="26"/>
        <v/>
      </c>
      <c r="F56" s="84" t="str">
        <f t="shared" si="27"/>
        <v/>
      </c>
      <c r="G56" s="83"/>
      <c r="H56" s="83"/>
      <c r="I56" s="18" t="str">
        <f t="shared" si="28"/>
        <v/>
      </c>
      <c r="J56" s="84" t="str">
        <f t="shared" si="29"/>
        <v/>
      </c>
    </row>
    <row r="57" spans="1:10" ht="24.95" customHeight="1">
      <c r="A57" s="69">
        <v>7</v>
      </c>
      <c r="B57" s="31" t="s">
        <v>160</v>
      </c>
      <c r="C57" s="83"/>
      <c r="D57" s="83"/>
      <c r="E57" s="18" t="str">
        <f t="shared" si="26"/>
        <v/>
      </c>
      <c r="F57" s="84" t="str">
        <f t="shared" si="27"/>
        <v/>
      </c>
      <c r="G57" s="83"/>
      <c r="H57" s="83"/>
      <c r="I57" s="18" t="str">
        <f t="shared" si="28"/>
        <v/>
      </c>
      <c r="J57" s="84" t="str">
        <f t="shared" si="29"/>
        <v/>
      </c>
    </row>
    <row r="58" spans="1:10" ht="24.95" customHeight="1">
      <c r="A58" s="69">
        <v>8</v>
      </c>
      <c r="B58" s="31" t="s">
        <v>161</v>
      </c>
      <c r="C58" s="83"/>
      <c r="D58" s="83"/>
      <c r="E58" s="18" t="str">
        <f t="shared" si="26"/>
        <v/>
      </c>
      <c r="F58" s="84" t="str">
        <f t="shared" si="27"/>
        <v/>
      </c>
      <c r="G58" s="83"/>
      <c r="H58" s="83"/>
      <c r="I58" s="18" t="str">
        <f t="shared" si="28"/>
        <v/>
      </c>
      <c r="J58" s="84" t="str">
        <f t="shared" si="29"/>
        <v/>
      </c>
    </row>
    <row r="59" spans="1:10" ht="24.95" customHeight="1">
      <c r="A59" s="17">
        <v>9</v>
      </c>
      <c r="B59" s="39" t="s">
        <v>257</v>
      </c>
      <c r="C59" s="83"/>
      <c r="D59" s="83"/>
      <c r="E59" s="18" t="str">
        <f t="shared" si="26"/>
        <v/>
      </c>
      <c r="F59" s="84" t="str">
        <f t="shared" si="27"/>
        <v/>
      </c>
      <c r="G59" s="83"/>
      <c r="H59" s="83"/>
      <c r="I59" s="18" t="str">
        <f t="shared" si="28"/>
        <v/>
      </c>
      <c r="J59" s="84" t="str">
        <f t="shared" si="29"/>
        <v/>
      </c>
    </row>
    <row r="60" spans="1:10" ht="24.95" customHeight="1">
      <c r="A60" s="17">
        <v>10</v>
      </c>
      <c r="B60" s="24" t="s">
        <v>156</v>
      </c>
      <c r="C60" s="83"/>
      <c r="D60" s="83"/>
      <c r="E60" s="18" t="str">
        <f t="shared" si="26"/>
        <v/>
      </c>
      <c r="F60" s="84" t="str">
        <f t="shared" si="27"/>
        <v/>
      </c>
      <c r="G60" s="83"/>
      <c r="H60" s="83">
        <v>38</v>
      </c>
      <c r="I60" s="18">
        <f t="shared" si="28"/>
        <v>38</v>
      </c>
      <c r="J60" s="84">
        <f t="shared" si="29"/>
        <v>38</v>
      </c>
    </row>
    <row r="61" spans="1:10" ht="24.95" customHeight="1">
      <c r="A61" s="17">
        <v>11</v>
      </c>
      <c r="B61" s="24" t="s">
        <v>273</v>
      </c>
      <c r="C61" s="83"/>
      <c r="D61" s="83">
        <v>3535</v>
      </c>
      <c r="E61" s="18">
        <f t="shared" si="26"/>
        <v>3535</v>
      </c>
      <c r="F61" s="84">
        <f t="shared" si="27"/>
        <v>3535</v>
      </c>
      <c r="G61" s="83"/>
      <c r="H61" s="83">
        <v>3535</v>
      </c>
      <c r="I61" s="18">
        <f t="shared" si="28"/>
        <v>3535</v>
      </c>
      <c r="J61" s="84">
        <f t="shared" si="29"/>
        <v>3535</v>
      </c>
    </row>
    <row r="62" spans="1:10" ht="24.95" customHeight="1">
      <c r="A62" s="17">
        <v>12</v>
      </c>
      <c r="B62" s="24" t="s">
        <v>274</v>
      </c>
      <c r="C62" s="83"/>
      <c r="D62" s="83">
        <v>38</v>
      </c>
      <c r="E62" s="18">
        <f t="shared" si="26"/>
        <v>38</v>
      </c>
      <c r="F62" s="84">
        <f t="shared" si="27"/>
        <v>38</v>
      </c>
      <c r="G62" s="83"/>
      <c r="H62" s="83">
        <v>38</v>
      </c>
      <c r="I62" s="18">
        <f t="shared" si="28"/>
        <v>38</v>
      </c>
      <c r="J62" s="84">
        <f t="shared" si="29"/>
        <v>38</v>
      </c>
    </row>
    <row r="63" spans="1:10" ht="24.95" customHeight="1">
      <c r="A63" s="17">
        <v>13</v>
      </c>
      <c r="B63" s="24" t="s">
        <v>158</v>
      </c>
      <c r="C63" s="83"/>
      <c r="D63" s="83"/>
      <c r="E63" s="18" t="str">
        <f t="shared" si="26"/>
        <v/>
      </c>
      <c r="F63" s="84" t="str">
        <f t="shared" si="27"/>
        <v/>
      </c>
      <c r="G63" s="83"/>
      <c r="H63" s="83"/>
      <c r="I63" s="18" t="str">
        <f t="shared" si="28"/>
        <v/>
      </c>
      <c r="J63" s="84" t="str">
        <f t="shared" si="29"/>
        <v/>
      </c>
    </row>
    <row r="64" spans="1:10" ht="24.95" customHeight="1">
      <c r="A64" s="17">
        <v>14</v>
      </c>
      <c r="B64" s="38" t="s">
        <v>159</v>
      </c>
      <c r="C64" s="83"/>
      <c r="D64" s="83"/>
      <c r="E64" s="18" t="str">
        <f t="shared" si="26"/>
        <v/>
      </c>
      <c r="F64" s="84" t="str">
        <f t="shared" si="27"/>
        <v/>
      </c>
      <c r="G64" s="83"/>
      <c r="H64" s="83"/>
      <c r="I64" s="18" t="str">
        <f t="shared" si="28"/>
        <v/>
      </c>
      <c r="J64" s="84" t="str">
        <f t="shared" si="29"/>
        <v/>
      </c>
    </row>
    <row r="65" spans="1:10" ht="24.95" customHeight="1">
      <c r="A65" s="69">
        <v>15</v>
      </c>
      <c r="B65" s="31" t="s">
        <v>160</v>
      </c>
      <c r="C65" s="83"/>
      <c r="D65" s="83"/>
      <c r="E65" s="18" t="str">
        <f t="shared" si="26"/>
        <v/>
      </c>
      <c r="F65" s="84" t="str">
        <f t="shared" si="27"/>
        <v/>
      </c>
      <c r="G65" s="83"/>
      <c r="H65" s="83"/>
      <c r="I65" s="18" t="str">
        <f t="shared" si="28"/>
        <v/>
      </c>
      <c r="J65" s="84" t="str">
        <f t="shared" si="29"/>
        <v/>
      </c>
    </row>
    <row r="66" spans="1:10" ht="24.95" customHeight="1">
      <c r="A66" s="17">
        <v>16</v>
      </c>
      <c r="B66" s="15" t="s">
        <v>161</v>
      </c>
      <c r="C66" s="83"/>
      <c r="D66" s="83"/>
      <c r="E66" s="18" t="str">
        <f t="shared" si="26"/>
        <v/>
      </c>
      <c r="F66" s="84" t="str">
        <f t="shared" si="27"/>
        <v/>
      </c>
      <c r="G66" s="83"/>
      <c r="H66" s="83"/>
      <c r="I66" s="18" t="str">
        <f t="shared" si="28"/>
        <v/>
      </c>
      <c r="J66" s="84" t="str">
        <f t="shared" si="29"/>
        <v/>
      </c>
    </row>
    <row r="67" spans="1:10" ht="24.95" customHeight="1">
      <c r="A67" s="86"/>
      <c r="B67" s="87"/>
      <c r="C67" s="90"/>
      <c r="D67" s="90"/>
      <c r="E67" s="89"/>
      <c r="F67" s="91"/>
      <c r="G67" s="90"/>
      <c r="H67" s="90"/>
      <c r="I67" s="89"/>
      <c r="J67" s="91"/>
    </row>
    <row r="68" spans="1:10">
      <c r="A68" s="138" t="s">
        <v>245</v>
      </c>
      <c r="B68" s="138"/>
      <c r="C68" s="138"/>
      <c r="D68" s="138"/>
      <c r="E68" s="138"/>
      <c r="F68" s="138"/>
      <c r="G68" s="138"/>
      <c r="H68" s="138"/>
      <c r="I68" s="138"/>
      <c r="J68" s="138"/>
    </row>
    <row r="69" spans="1:10">
      <c r="A69" s="139"/>
      <c r="B69" s="139"/>
      <c r="C69" s="139"/>
      <c r="D69" s="139"/>
      <c r="E69" s="139"/>
      <c r="F69" s="139"/>
      <c r="G69" s="139"/>
      <c r="H69" s="139"/>
      <c r="I69" s="139"/>
      <c r="J69" s="139"/>
    </row>
    <row r="70" spans="1:10" ht="50.1" customHeight="1">
      <c r="A70" s="26"/>
      <c r="B70" s="66" t="s">
        <v>145</v>
      </c>
      <c r="C70" s="136"/>
      <c r="D70" s="143"/>
      <c r="E70" s="137" t="s">
        <v>251</v>
      </c>
      <c r="F70" s="137"/>
      <c r="G70" s="66" t="str">
        <f>"Факт Январь-  " &amp; $J2 &amp; " 2023 г"</f>
        <v>Факт Январь-  Сентябрь 2023 г</v>
      </c>
      <c r="H70" s="66" t="str">
        <f>"Факт Январь-  " &amp; $J2 &amp; " 2024 г"</f>
        <v>Факт Январь-  Сентябрь 2024 г</v>
      </c>
      <c r="I70" s="137" t="s">
        <v>251</v>
      </c>
      <c r="J70" s="137"/>
    </row>
    <row r="71" spans="1:10" ht="22.5">
      <c r="A71" s="26"/>
      <c r="B71" s="17"/>
      <c r="C71" s="21" t="str">
        <f>"Факт " &amp; $J2 &amp; "              2023 г"</f>
        <v>Факт Сентябрь              2023 г</v>
      </c>
      <c r="D71" s="21" t="str">
        <f>"Факт " &amp; $J2 &amp; "               2024 г"</f>
        <v>Факт Сентябрь               2024 г</v>
      </c>
      <c r="E71" s="18" t="s">
        <v>140</v>
      </c>
      <c r="F71" s="17" t="s">
        <v>4</v>
      </c>
      <c r="G71" s="21"/>
      <c r="H71" s="21"/>
      <c r="I71" s="18" t="s">
        <v>140</v>
      </c>
      <c r="J71" s="17" t="s">
        <v>4</v>
      </c>
    </row>
    <row r="72" spans="1:10">
      <c r="A72" s="26" t="s">
        <v>1</v>
      </c>
      <c r="B72" s="17" t="s">
        <v>12</v>
      </c>
      <c r="C72" s="17">
        <v>1</v>
      </c>
      <c r="D72" s="18">
        <v>2</v>
      </c>
      <c r="E72" s="18">
        <v>3</v>
      </c>
      <c r="F72" s="17">
        <v>4</v>
      </c>
      <c r="G72" s="18">
        <v>5</v>
      </c>
      <c r="H72" s="18">
        <v>6</v>
      </c>
      <c r="I72" s="17">
        <v>7</v>
      </c>
      <c r="J72" s="18">
        <v>8</v>
      </c>
    </row>
    <row r="73" spans="1:10" ht="24.95" customHeight="1">
      <c r="A73" s="17">
        <v>1</v>
      </c>
      <c r="B73" s="23" t="s">
        <v>155</v>
      </c>
      <c r="C73" s="41"/>
      <c r="D73" s="40"/>
      <c r="E73" s="18" t="str">
        <f t="shared" ref="E73:E88" si="30">IF(AND(C73=0,D73=0),"",IFERROR(IF(OR(D73=0,D73=""),-C73,D73-C73),""))</f>
        <v/>
      </c>
      <c r="F73" s="84" t="str">
        <f t="shared" ref="F73:F88" si="31">IF(AND(D73=0,C73=0),"",IFERROR(IF(C73=0, D73, D73/C73),""))</f>
        <v/>
      </c>
      <c r="G73" s="40"/>
      <c r="H73" s="40"/>
      <c r="I73" s="18" t="str">
        <f t="shared" ref="I73:I88" si="32">IF(AND(G73=0,H73=0),"",IFERROR(IF(OR(H73=0,H73=""),-G73,H73-G73),""))</f>
        <v/>
      </c>
      <c r="J73" s="84" t="str">
        <f t="shared" ref="J73:J88" si="33">IF(AND(H73=0,G73=0),"",IFERROR(IF(G73=0, H73, H73/G73),""))</f>
        <v/>
      </c>
    </row>
    <row r="74" spans="1:10" ht="24.95" customHeight="1">
      <c r="A74" s="17">
        <v>2</v>
      </c>
      <c r="B74" s="24" t="s">
        <v>156</v>
      </c>
      <c r="C74" s="40"/>
      <c r="D74" s="40"/>
      <c r="E74" s="18" t="str">
        <f t="shared" si="30"/>
        <v/>
      </c>
      <c r="F74" s="84" t="str">
        <f t="shared" si="31"/>
        <v/>
      </c>
      <c r="G74" s="40"/>
      <c r="H74" s="40"/>
      <c r="I74" s="18" t="str">
        <f t="shared" si="32"/>
        <v/>
      </c>
      <c r="J74" s="84" t="str">
        <f t="shared" si="33"/>
        <v/>
      </c>
    </row>
    <row r="75" spans="1:10" ht="24.95" customHeight="1">
      <c r="A75" s="17">
        <v>3</v>
      </c>
      <c r="B75" s="85" t="s">
        <v>273</v>
      </c>
      <c r="C75" s="40"/>
      <c r="D75" s="40"/>
      <c r="E75" s="18" t="str">
        <f t="shared" si="30"/>
        <v/>
      </c>
      <c r="F75" s="84" t="str">
        <f t="shared" si="31"/>
        <v/>
      </c>
      <c r="G75" s="40"/>
      <c r="H75" s="40"/>
      <c r="I75" s="18" t="str">
        <f t="shared" si="32"/>
        <v/>
      </c>
      <c r="J75" s="84" t="str">
        <f t="shared" si="33"/>
        <v/>
      </c>
    </row>
    <row r="76" spans="1:10" ht="24.95" customHeight="1">
      <c r="A76" s="17">
        <v>4</v>
      </c>
      <c r="B76" s="85" t="s">
        <v>274</v>
      </c>
      <c r="C76" s="40"/>
      <c r="D76" s="40"/>
      <c r="E76" s="18" t="str">
        <f t="shared" si="30"/>
        <v/>
      </c>
      <c r="F76" s="84" t="str">
        <f t="shared" si="31"/>
        <v/>
      </c>
      <c r="G76" s="40"/>
      <c r="H76" s="40"/>
      <c r="I76" s="18" t="str">
        <f t="shared" si="32"/>
        <v/>
      </c>
      <c r="J76" s="84" t="str">
        <f t="shared" si="33"/>
        <v/>
      </c>
    </row>
    <row r="77" spans="1:10" ht="24.95" customHeight="1">
      <c r="A77" s="17">
        <v>5</v>
      </c>
      <c r="B77" s="15" t="s">
        <v>158</v>
      </c>
      <c r="C77" s="40"/>
      <c r="D77" s="40"/>
      <c r="E77" s="18" t="str">
        <f t="shared" si="30"/>
        <v/>
      </c>
      <c r="F77" s="84" t="str">
        <f t="shared" si="31"/>
        <v/>
      </c>
      <c r="G77" s="40"/>
      <c r="H77" s="40"/>
      <c r="I77" s="18" t="str">
        <f t="shared" si="32"/>
        <v/>
      </c>
      <c r="J77" s="84" t="str">
        <f t="shared" si="33"/>
        <v/>
      </c>
    </row>
    <row r="78" spans="1:10" ht="24.95" customHeight="1">
      <c r="A78" s="17">
        <v>6</v>
      </c>
      <c r="B78" s="73" t="s">
        <v>159</v>
      </c>
      <c r="C78" s="40"/>
      <c r="D78" s="40"/>
      <c r="E78" s="18" t="str">
        <f t="shared" si="30"/>
        <v/>
      </c>
      <c r="F78" s="84" t="str">
        <f t="shared" si="31"/>
        <v/>
      </c>
      <c r="G78" s="40"/>
      <c r="H78" s="40"/>
      <c r="I78" s="18" t="str">
        <f t="shared" si="32"/>
        <v/>
      </c>
      <c r="J78" s="84" t="str">
        <f t="shared" si="33"/>
        <v/>
      </c>
    </row>
    <row r="79" spans="1:10" ht="24.95" customHeight="1">
      <c r="A79" s="69">
        <v>7</v>
      </c>
      <c r="B79" s="31" t="s">
        <v>160</v>
      </c>
      <c r="C79" s="40"/>
      <c r="D79" s="40"/>
      <c r="E79" s="18" t="str">
        <f t="shared" si="30"/>
        <v/>
      </c>
      <c r="F79" s="84" t="str">
        <f t="shared" si="31"/>
        <v/>
      </c>
      <c r="G79" s="40"/>
      <c r="H79" s="40"/>
      <c r="I79" s="18" t="str">
        <f t="shared" si="32"/>
        <v/>
      </c>
      <c r="J79" s="84" t="str">
        <f t="shared" si="33"/>
        <v/>
      </c>
    </row>
    <row r="80" spans="1:10" ht="24.95" customHeight="1">
      <c r="A80" s="69">
        <v>8</v>
      </c>
      <c r="B80" s="31" t="s">
        <v>161</v>
      </c>
      <c r="C80" s="40"/>
      <c r="D80" s="40"/>
      <c r="E80" s="18" t="str">
        <f t="shared" si="30"/>
        <v/>
      </c>
      <c r="F80" s="84" t="str">
        <f t="shared" si="31"/>
        <v/>
      </c>
      <c r="G80" s="40"/>
      <c r="H80" s="40"/>
      <c r="I80" s="18" t="str">
        <f t="shared" si="32"/>
        <v/>
      </c>
      <c r="J80" s="84" t="str">
        <f t="shared" si="33"/>
        <v/>
      </c>
    </row>
    <row r="81" spans="1:10" ht="24.95" customHeight="1">
      <c r="A81" s="17">
        <v>9</v>
      </c>
      <c r="B81" s="39" t="s">
        <v>257</v>
      </c>
      <c r="C81" s="40"/>
      <c r="D81" s="40"/>
      <c r="E81" s="18" t="str">
        <f t="shared" si="30"/>
        <v/>
      </c>
      <c r="F81" s="84" t="str">
        <f t="shared" si="31"/>
        <v/>
      </c>
      <c r="G81" s="40"/>
      <c r="H81" s="40"/>
      <c r="I81" s="18" t="str">
        <f t="shared" si="32"/>
        <v/>
      </c>
      <c r="J81" s="84" t="str">
        <f t="shared" si="33"/>
        <v/>
      </c>
    </row>
    <row r="82" spans="1:10" ht="24.95" customHeight="1">
      <c r="A82" s="17">
        <v>10</v>
      </c>
      <c r="B82" s="24" t="s">
        <v>156</v>
      </c>
      <c r="C82" s="40"/>
      <c r="D82" s="40"/>
      <c r="E82" s="18" t="str">
        <f t="shared" si="30"/>
        <v/>
      </c>
      <c r="F82" s="84" t="str">
        <f t="shared" si="31"/>
        <v/>
      </c>
      <c r="G82" s="40"/>
      <c r="H82" s="40"/>
      <c r="I82" s="18" t="str">
        <f t="shared" si="32"/>
        <v/>
      </c>
      <c r="J82" s="84" t="str">
        <f t="shared" si="33"/>
        <v/>
      </c>
    </row>
    <row r="83" spans="1:10" ht="24.95" customHeight="1">
      <c r="A83" s="17">
        <v>11</v>
      </c>
      <c r="B83" s="24" t="s">
        <v>273</v>
      </c>
      <c r="C83" s="40"/>
      <c r="D83" s="40"/>
      <c r="E83" s="18" t="str">
        <f t="shared" si="30"/>
        <v/>
      </c>
      <c r="F83" s="84" t="str">
        <f t="shared" si="31"/>
        <v/>
      </c>
      <c r="G83" s="40"/>
      <c r="H83" s="40"/>
      <c r="I83" s="18" t="str">
        <f t="shared" si="32"/>
        <v/>
      </c>
      <c r="J83" s="84" t="str">
        <f t="shared" si="33"/>
        <v/>
      </c>
    </row>
    <row r="84" spans="1:10" ht="24.95" customHeight="1">
      <c r="A84" s="17">
        <v>12</v>
      </c>
      <c r="B84" s="24" t="s">
        <v>274</v>
      </c>
      <c r="C84" s="40"/>
      <c r="D84" s="40"/>
      <c r="E84" s="18" t="str">
        <f t="shared" si="30"/>
        <v/>
      </c>
      <c r="F84" s="84" t="str">
        <f t="shared" si="31"/>
        <v/>
      </c>
      <c r="G84" s="40"/>
      <c r="H84" s="40"/>
      <c r="I84" s="18" t="str">
        <f t="shared" si="32"/>
        <v/>
      </c>
      <c r="J84" s="84" t="str">
        <f t="shared" si="33"/>
        <v/>
      </c>
    </row>
    <row r="85" spans="1:10" ht="24.95" customHeight="1">
      <c r="A85" s="17">
        <v>13</v>
      </c>
      <c r="B85" s="24" t="s">
        <v>158</v>
      </c>
      <c r="C85" s="40"/>
      <c r="D85" s="40"/>
      <c r="E85" s="18" t="str">
        <f t="shared" si="30"/>
        <v/>
      </c>
      <c r="F85" s="84" t="str">
        <f t="shared" si="31"/>
        <v/>
      </c>
      <c r="G85" s="40"/>
      <c r="H85" s="40"/>
      <c r="I85" s="18" t="str">
        <f t="shared" si="32"/>
        <v/>
      </c>
      <c r="J85" s="84" t="str">
        <f t="shared" si="33"/>
        <v/>
      </c>
    </row>
    <row r="86" spans="1:10" ht="24.95" customHeight="1">
      <c r="A86" s="17">
        <v>14</v>
      </c>
      <c r="B86" s="38" t="s">
        <v>159</v>
      </c>
      <c r="C86" s="40"/>
      <c r="D86" s="40"/>
      <c r="E86" s="18" t="str">
        <f t="shared" si="30"/>
        <v/>
      </c>
      <c r="F86" s="84" t="str">
        <f t="shared" si="31"/>
        <v/>
      </c>
      <c r="G86" s="40"/>
      <c r="H86" s="40"/>
      <c r="I86" s="18" t="str">
        <f t="shared" si="32"/>
        <v/>
      </c>
      <c r="J86" s="84" t="str">
        <f t="shared" si="33"/>
        <v/>
      </c>
    </row>
    <row r="87" spans="1:10" ht="24.95" customHeight="1">
      <c r="A87" s="69">
        <v>15</v>
      </c>
      <c r="B87" s="31" t="s">
        <v>160</v>
      </c>
      <c r="C87" s="40"/>
      <c r="D87" s="40"/>
      <c r="E87" s="18" t="str">
        <f t="shared" si="30"/>
        <v/>
      </c>
      <c r="F87" s="84" t="str">
        <f t="shared" si="31"/>
        <v/>
      </c>
      <c r="G87" s="40"/>
      <c r="H87" s="40"/>
      <c r="I87" s="18" t="str">
        <f t="shared" si="32"/>
        <v/>
      </c>
      <c r="J87" s="84" t="str">
        <f t="shared" si="33"/>
        <v/>
      </c>
    </row>
    <row r="88" spans="1:10" ht="24.95" customHeight="1">
      <c r="A88" s="17">
        <v>16</v>
      </c>
      <c r="B88" s="15" t="s">
        <v>161</v>
      </c>
      <c r="C88" s="40"/>
      <c r="D88" s="40"/>
      <c r="E88" s="18" t="str">
        <f t="shared" si="30"/>
        <v/>
      </c>
      <c r="F88" s="84" t="str">
        <f t="shared" si="31"/>
        <v/>
      </c>
      <c r="G88" s="40"/>
      <c r="H88" s="40"/>
      <c r="I88" s="18" t="str">
        <f t="shared" si="32"/>
        <v/>
      </c>
      <c r="J88" s="84" t="str">
        <f t="shared" si="33"/>
        <v/>
      </c>
    </row>
    <row r="89" spans="1:10" ht="24.95" customHeight="1">
      <c r="A89" s="86"/>
      <c r="B89" s="87"/>
      <c r="C89" s="90"/>
      <c r="D89" s="90"/>
      <c r="E89" s="89"/>
      <c r="F89" s="91"/>
      <c r="G89" s="90"/>
      <c r="H89" s="90"/>
      <c r="I89" s="89"/>
      <c r="J89" s="91"/>
    </row>
    <row r="90" spans="1:10">
      <c r="A90" s="138" t="s">
        <v>246</v>
      </c>
      <c r="B90" s="138"/>
      <c r="C90" s="138"/>
      <c r="D90" s="138"/>
      <c r="E90" s="138"/>
      <c r="F90" s="138"/>
      <c r="G90" s="138"/>
      <c r="H90" s="138"/>
      <c r="I90" s="138"/>
      <c r="J90" s="138"/>
    </row>
    <row r="91" spans="1:10">
      <c r="A91" s="139"/>
      <c r="B91" s="139"/>
      <c r="C91" s="139"/>
      <c r="D91" s="139"/>
      <c r="E91" s="139"/>
      <c r="F91" s="139"/>
      <c r="G91" s="139"/>
      <c r="H91" s="139"/>
      <c r="I91" s="139"/>
      <c r="J91" s="139"/>
    </row>
    <row r="92" spans="1:10" ht="50.1" customHeight="1">
      <c r="A92" s="26"/>
      <c r="B92" s="66" t="s">
        <v>145</v>
      </c>
      <c r="C92" s="136"/>
      <c r="D92" s="136"/>
      <c r="E92" s="137" t="s">
        <v>251</v>
      </c>
      <c r="F92" s="137"/>
      <c r="G92" s="66" t="str">
        <f>"Факт Январь-  " &amp; $J2 &amp; " 2023 г"</f>
        <v>Факт Январь-  Сентябрь 2023 г</v>
      </c>
      <c r="H92" s="66" t="str">
        <f>"Факт Январь-  " &amp; $J2 &amp; " 2024 г"</f>
        <v>Факт Январь-  Сентябрь 2024 г</v>
      </c>
      <c r="I92" s="137" t="s">
        <v>251</v>
      </c>
      <c r="J92" s="137"/>
    </row>
    <row r="93" spans="1:10" ht="22.5">
      <c r="A93" s="26"/>
      <c r="B93" s="17"/>
      <c r="C93" s="21" t="str">
        <f>"Факт " &amp; $J2 &amp; "                2023 г"</f>
        <v>Факт Сентябрь                2023 г</v>
      </c>
      <c r="D93" s="21" t="str">
        <f>"Факт " &amp; $J2 &amp; "              2024 г"</f>
        <v>Факт Сентябрь              2024 г</v>
      </c>
      <c r="E93" s="18" t="s">
        <v>140</v>
      </c>
      <c r="F93" s="17" t="s">
        <v>4</v>
      </c>
      <c r="G93" s="21"/>
      <c r="H93" s="21"/>
      <c r="I93" s="18" t="s">
        <v>140</v>
      </c>
      <c r="J93" s="17" t="s">
        <v>4</v>
      </c>
    </row>
    <row r="94" spans="1:10">
      <c r="A94" s="26" t="s">
        <v>1</v>
      </c>
      <c r="B94" s="17" t="s">
        <v>12</v>
      </c>
      <c r="C94" s="18">
        <v>1</v>
      </c>
      <c r="D94" s="17">
        <v>2</v>
      </c>
      <c r="E94" s="18">
        <v>3</v>
      </c>
      <c r="F94" s="18">
        <v>4</v>
      </c>
      <c r="G94" s="17">
        <v>5</v>
      </c>
      <c r="H94" s="18">
        <v>6</v>
      </c>
      <c r="I94" s="18">
        <v>7</v>
      </c>
      <c r="J94" s="17">
        <v>8</v>
      </c>
    </row>
    <row r="95" spans="1:10" ht="24.95" customHeight="1">
      <c r="A95" s="17">
        <v>1</v>
      </c>
      <c r="B95" s="23" t="s">
        <v>155</v>
      </c>
      <c r="C95" s="113"/>
      <c r="D95" s="83"/>
      <c r="E95" s="18" t="str">
        <f t="shared" ref="E95:E110" si="34">IF(AND(C95=0,D95=0),"",IFERROR(IF(OR(D95=0,D95=""),-C95,D95-C95),""))</f>
        <v/>
      </c>
      <c r="F95" s="84" t="str">
        <f t="shared" ref="F95:F110" si="35">IF(AND(D95=0,C95=0),"",IFERROR(IF(C95=0, D95, D95/C95),""))</f>
        <v/>
      </c>
      <c r="G95" s="83"/>
      <c r="H95" s="83">
        <v>3</v>
      </c>
      <c r="I95" s="18">
        <f t="shared" ref="I95:I110" si="36">IF(AND(G95=0,H95=0),"",IFERROR(IF(OR(H95=0,H95=""),-G95,H95-G95),""))</f>
        <v>3</v>
      </c>
      <c r="J95" s="84">
        <f t="shared" ref="J95:J110" si="37">IF(AND(H95=0,G95=0),"",IFERROR(IF(G95=0, H95, H95/G95),""))</f>
        <v>3</v>
      </c>
    </row>
    <row r="96" spans="1:10" ht="24.95" customHeight="1">
      <c r="A96" s="17">
        <v>2</v>
      </c>
      <c r="B96" s="24" t="s">
        <v>156</v>
      </c>
      <c r="C96" s="83"/>
      <c r="D96" s="83"/>
      <c r="E96" s="18" t="str">
        <f t="shared" si="34"/>
        <v/>
      </c>
      <c r="F96" s="84" t="str">
        <f t="shared" si="35"/>
        <v/>
      </c>
      <c r="G96" s="83"/>
      <c r="H96" s="83">
        <v>3</v>
      </c>
      <c r="I96" s="18">
        <f t="shared" si="36"/>
        <v>3</v>
      </c>
      <c r="J96" s="84">
        <f t="shared" si="37"/>
        <v>3</v>
      </c>
    </row>
    <row r="97" spans="1:10" ht="24.95" customHeight="1">
      <c r="A97" s="17">
        <v>3</v>
      </c>
      <c r="B97" s="85" t="s">
        <v>273</v>
      </c>
      <c r="C97" s="83"/>
      <c r="D97" s="83"/>
      <c r="E97" s="18" t="str">
        <f t="shared" si="34"/>
        <v/>
      </c>
      <c r="F97" s="84" t="str">
        <f t="shared" si="35"/>
        <v/>
      </c>
      <c r="G97" s="83"/>
      <c r="H97" s="83"/>
      <c r="I97" s="18" t="str">
        <f t="shared" si="36"/>
        <v/>
      </c>
      <c r="J97" s="84" t="str">
        <f t="shared" si="37"/>
        <v/>
      </c>
    </row>
    <row r="98" spans="1:10" ht="24.95" customHeight="1">
      <c r="A98" s="17">
        <v>4</v>
      </c>
      <c r="B98" s="85" t="s">
        <v>274</v>
      </c>
      <c r="C98" s="83"/>
      <c r="D98" s="83"/>
      <c r="E98" s="18" t="str">
        <f t="shared" si="34"/>
        <v/>
      </c>
      <c r="F98" s="84" t="str">
        <f t="shared" si="35"/>
        <v/>
      </c>
      <c r="G98" s="83"/>
      <c r="H98" s="83">
        <v>3</v>
      </c>
      <c r="I98" s="18">
        <f t="shared" si="36"/>
        <v>3</v>
      </c>
      <c r="J98" s="84">
        <f t="shared" si="37"/>
        <v>3</v>
      </c>
    </row>
    <row r="99" spans="1:10" ht="24.95" customHeight="1">
      <c r="A99" s="17">
        <v>5</v>
      </c>
      <c r="B99" s="15" t="s">
        <v>158</v>
      </c>
      <c r="C99" s="83"/>
      <c r="D99" s="83"/>
      <c r="E99" s="18" t="str">
        <f t="shared" si="34"/>
        <v/>
      </c>
      <c r="F99" s="84" t="str">
        <f t="shared" si="35"/>
        <v/>
      </c>
      <c r="G99" s="83"/>
      <c r="H99" s="83"/>
      <c r="I99" s="18" t="str">
        <f t="shared" si="36"/>
        <v/>
      </c>
      <c r="J99" s="84" t="str">
        <f t="shared" si="37"/>
        <v/>
      </c>
    </row>
    <row r="100" spans="1:10" ht="24.95" customHeight="1">
      <c r="A100" s="17">
        <v>6</v>
      </c>
      <c r="B100" s="73" t="s">
        <v>159</v>
      </c>
      <c r="C100" s="83"/>
      <c r="D100" s="83"/>
      <c r="E100" s="18" t="str">
        <f t="shared" si="34"/>
        <v/>
      </c>
      <c r="F100" s="84" t="str">
        <f t="shared" si="35"/>
        <v/>
      </c>
      <c r="G100" s="83"/>
      <c r="H100" s="83"/>
      <c r="I100" s="18" t="str">
        <f t="shared" si="36"/>
        <v/>
      </c>
      <c r="J100" s="84" t="str">
        <f t="shared" si="37"/>
        <v/>
      </c>
    </row>
    <row r="101" spans="1:10" ht="24.95" customHeight="1">
      <c r="A101" s="69">
        <v>7</v>
      </c>
      <c r="B101" s="31" t="s">
        <v>160</v>
      </c>
      <c r="C101" s="83"/>
      <c r="D101" s="83"/>
      <c r="E101" s="18" t="str">
        <f t="shared" si="34"/>
        <v/>
      </c>
      <c r="F101" s="84" t="str">
        <f t="shared" si="35"/>
        <v/>
      </c>
      <c r="G101" s="83"/>
      <c r="H101" s="83"/>
      <c r="I101" s="18" t="str">
        <f t="shared" si="36"/>
        <v/>
      </c>
      <c r="J101" s="84" t="str">
        <f t="shared" si="37"/>
        <v/>
      </c>
    </row>
    <row r="102" spans="1:10" ht="24.95" customHeight="1">
      <c r="A102" s="69">
        <v>8</v>
      </c>
      <c r="B102" s="31" t="s">
        <v>161</v>
      </c>
      <c r="C102" s="83"/>
      <c r="D102" s="83"/>
      <c r="E102" s="18" t="str">
        <f t="shared" si="34"/>
        <v/>
      </c>
      <c r="F102" s="84" t="str">
        <f t="shared" si="35"/>
        <v/>
      </c>
      <c r="G102" s="83"/>
      <c r="H102" s="83"/>
      <c r="I102" s="18" t="str">
        <f t="shared" si="36"/>
        <v/>
      </c>
      <c r="J102" s="84" t="str">
        <f t="shared" si="37"/>
        <v/>
      </c>
    </row>
    <row r="103" spans="1:10" ht="24.95" customHeight="1">
      <c r="A103" s="17">
        <v>9</v>
      </c>
      <c r="B103" s="39" t="s">
        <v>257</v>
      </c>
      <c r="C103" s="83"/>
      <c r="D103" s="83">
        <v>4</v>
      </c>
      <c r="E103" s="18">
        <f t="shared" si="34"/>
        <v>4</v>
      </c>
      <c r="F103" s="84">
        <f t="shared" si="35"/>
        <v>4</v>
      </c>
      <c r="G103" s="83"/>
      <c r="H103" s="83"/>
      <c r="I103" s="18" t="str">
        <f t="shared" si="36"/>
        <v/>
      </c>
      <c r="J103" s="84" t="str">
        <f t="shared" si="37"/>
        <v/>
      </c>
    </row>
    <row r="104" spans="1:10" ht="24.95" customHeight="1">
      <c r="A104" s="17">
        <v>10</v>
      </c>
      <c r="B104" s="24" t="s">
        <v>156</v>
      </c>
      <c r="C104" s="83"/>
      <c r="D104" s="83">
        <v>4</v>
      </c>
      <c r="E104" s="18">
        <f t="shared" si="34"/>
        <v>4</v>
      </c>
      <c r="F104" s="84">
        <f t="shared" si="35"/>
        <v>4</v>
      </c>
      <c r="G104" s="83"/>
      <c r="H104" s="83">
        <v>10</v>
      </c>
      <c r="I104" s="18">
        <f t="shared" si="36"/>
        <v>10</v>
      </c>
      <c r="J104" s="84">
        <f t="shared" si="37"/>
        <v>10</v>
      </c>
    </row>
    <row r="105" spans="1:10" ht="24.95" customHeight="1">
      <c r="A105" s="17">
        <v>11</v>
      </c>
      <c r="B105" s="24" t="s">
        <v>273</v>
      </c>
      <c r="C105" s="83"/>
      <c r="D105" s="83">
        <v>1600</v>
      </c>
      <c r="E105" s="18">
        <f t="shared" si="34"/>
        <v>1600</v>
      </c>
      <c r="F105" s="84">
        <f t="shared" si="35"/>
        <v>1600</v>
      </c>
      <c r="G105" s="83"/>
      <c r="H105" s="83">
        <v>60</v>
      </c>
      <c r="I105" s="18">
        <f t="shared" si="36"/>
        <v>60</v>
      </c>
      <c r="J105" s="84">
        <f t="shared" si="37"/>
        <v>60</v>
      </c>
    </row>
    <row r="106" spans="1:10" ht="24.95" customHeight="1">
      <c r="A106" s="17">
        <v>12</v>
      </c>
      <c r="B106" s="24" t="s">
        <v>274</v>
      </c>
      <c r="C106" s="83"/>
      <c r="D106" s="83">
        <v>4</v>
      </c>
      <c r="E106" s="18">
        <f t="shared" si="34"/>
        <v>4</v>
      </c>
      <c r="F106" s="84">
        <f t="shared" si="35"/>
        <v>4</v>
      </c>
      <c r="G106" s="83"/>
      <c r="H106" s="83">
        <v>10</v>
      </c>
      <c r="I106" s="18">
        <f t="shared" si="36"/>
        <v>10</v>
      </c>
      <c r="J106" s="84">
        <f t="shared" si="37"/>
        <v>10</v>
      </c>
    </row>
    <row r="107" spans="1:10" ht="24.95" customHeight="1">
      <c r="A107" s="17">
        <v>13</v>
      </c>
      <c r="B107" s="24" t="s">
        <v>158</v>
      </c>
      <c r="C107" s="83"/>
      <c r="D107" s="83"/>
      <c r="E107" s="18" t="str">
        <f t="shared" si="34"/>
        <v/>
      </c>
      <c r="F107" s="84" t="str">
        <f t="shared" si="35"/>
        <v/>
      </c>
      <c r="G107" s="83"/>
      <c r="H107" s="83"/>
      <c r="I107" s="18" t="str">
        <f t="shared" si="36"/>
        <v/>
      </c>
      <c r="J107" s="84" t="str">
        <f t="shared" si="37"/>
        <v/>
      </c>
    </row>
    <row r="108" spans="1:10" ht="24.95" customHeight="1">
      <c r="A108" s="17">
        <v>14</v>
      </c>
      <c r="B108" s="38" t="s">
        <v>159</v>
      </c>
      <c r="C108" s="83"/>
      <c r="D108" s="83"/>
      <c r="E108" s="18" t="str">
        <f t="shared" si="34"/>
        <v/>
      </c>
      <c r="F108" s="84" t="str">
        <f t="shared" si="35"/>
        <v/>
      </c>
      <c r="G108" s="83"/>
      <c r="H108" s="83"/>
      <c r="I108" s="18" t="str">
        <f t="shared" si="36"/>
        <v/>
      </c>
      <c r="J108" s="84" t="str">
        <f t="shared" si="37"/>
        <v/>
      </c>
    </row>
    <row r="109" spans="1:10" ht="24.95" customHeight="1">
      <c r="A109" s="69">
        <v>15</v>
      </c>
      <c r="B109" s="31" t="s">
        <v>160</v>
      </c>
      <c r="C109" s="83"/>
      <c r="D109" s="83"/>
      <c r="E109" s="18" t="str">
        <f t="shared" si="34"/>
        <v/>
      </c>
      <c r="F109" s="84" t="str">
        <f t="shared" si="35"/>
        <v/>
      </c>
      <c r="G109" s="83"/>
      <c r="H109" s="83"/>
      <c r="I109" s="18" t="str">
        <f t="shared" si="36"/>
        <v/>
      </c>
      <c r="J109" s="84" t="str">
        <f t="shared" si="37"/>
        <v/>
      </c>
    </row>
    <row r="110" spans="1:10" ht="24.95" customHeight="1">
      <c r="A110" s="17">
        <v>16</v>
      </c>
      <c r="B110" s="15" t="s">
        <v>161</v>
      </c>
      <c r="C110" s="83"/>
      <c r="D110" s="83"/>
      <c r="E110" s="18" t="str">
        <f t="shared" si="34"/>
        <v/>
      </c>
      <c r="F110" s="84" t="str">
        <f t="shared" si="35"/>
        <v/>
      </c>
      <c r="G110" s="83"/>
      <c r="H110" s="83"/>
      <c r="I110" s="18" t="str">
        <f t="shared" si="36"/>
        <v/>
      </c>
      <c r="J110" s="84" t="str">
        <f t="shared" si="37"/>
        <v/>
      </c>
    </row>
    <row r="111" spans="1:10" ht="24.95" customHeight="1">
      <c r="A111" s="86"/>
      <c r="B111" s="87"/>
      <c r="C111" s="90"/>
      <c r="D111" s="90"/>
      <c r="E111" s="89"/>
      <c r="F111" s="91"/>
      <c r="G111" s="90"/>
      <c r="H111" s="90"/>
      <c r="I111" s="89"/>
      <c r="J111" s="91"/>
    </row>
    <row r="112" spans="1:10">
      <c r="A112" s="138" t="s">
        <v>247</v>
      </c>
      <c r="B112" s="138"/>
      <c r="C112" s="138"/>
      <c r="D112" s="138"/>
      <c r="E112" s="138"/>
      <c r="F112" s="138"/>
      <c r="G112" s="138"/>
      <c r="H112" s="138"/>
      <c r="I112" s="138"/>
      <c r="J112" s="138"/>
    </row>
    <row r="113" spans="1:10">
      <c r="A113" s="139"/>
      <c r="B113" s="139"/>
      <c r="C113" s="139"/>
      <c r="D113" s="139"/>
      <c r="E113" s="139"/>
      <c r="F113" s="139"/>
      <c r="G113" s="139"/>
      <c r="H113" s="139"/>
      <c r="I113" s="139"/>
      <c r="J113" s="139"/>
    </row>
    <row r="114" spans="1:10" ht="50.1" customHeight="1">
      <c r="A114" s="26"/>
      <c r="B114" s="66" t="s">
        <v>145</v>
      </c>
      <c r="C114" s="136"/>
      <c r="D114" s="143"/>
      <c r="E114" s="137" t="s">
        <v>251</v>
      </c>
      <c r="F114" s="137"/>
      <c r="G114" s="66" t="str">
        <f>"Факт Январь-  " &amp; $J2 &amp; " 2023 г"</f>
        <v>Факт Январь-  Сентябрь 2023 г</v>
      </c>
      <c r="H114" s="66" t="str">
        <f>"Факт Январь-  " &amp; $J2 &amp; " 2024 г"</f>
        <v>Факт Январь-  Сентябрь 2024 г</v>
      </c>
      <c r="I114" s="137" t="s">
        <v>251</v>
      </c>
      <c r="J114" s="137"/>
    </row>
    <row r="115" spans="1:10" ht="22.5">
      <c r="A115" s="26"/>
      <c r="B115" s="17"/>
      <c r="C115" s="21" t="str">
        <f>"Факт " &amp; $J2 &amp; "                 2023 г"</f>
        <v>Факт Сентябрь                 2023 г</v>
      </c>
      <c r="D115" s="21" t="str">
        <f>"Факт " &amp; $J2 &amp; "                 2024 г"</f>
        <v>Факт Сентябрь                 2024 г</v>
      </c>
      <c r="E115" s="18" t="s">
        <v>140</v>
      </c>
      <c r="F115" s="17" t="s">
        <v>4</v>
      </c>
      <c r="G115" s="21"/>
      <c r="H115" s="21"/>
      <c r="I115" s="18" t="s">
        <v>140</v>
      </c>
      <c r="J115" s="17" t="s">
        <v>4</v>
      </c>
    </row>
    <row r="116" spans="1:10">
      <c r="A116" s="26" t="s">
        <v>1</v>
      </c>
      <c r="B116" s="17" t="s">
        <v>12</v>
      </c>
      <c r="C116" s="18">
        <v>1</v>
      </c>
      <c r="D116" s="18">
        <v>2</v>
      </c>
      <c r="E116" s="17">
        <v>3</v>
      </c>
      <c r="F116" s="18">
        <v>4</v>
      </c>
      <c r="G116" s="18">
        <v>5</v>
      </c>
      <c r="H116" s="17">
        <v>6</v>
      </c>
      <c r="I116" s="18">
        <v>7</v>
      </c>
      <c r="J116" s="18">
        <v>8</v>
      </c>
    </row>
    <row r="117" spans="1:10" ht="24.95" customHeight="1">
      <c r="A117" s="17">
        <v>1</v>
      </c>
      <c r="B117" s="23" t="s">
        <v>155</v>
      </c>
      <c r="C117" s="113"/>
      <c r="D117" s="83"/>
      <c r="E117" s="18" t="str">
        <f t="shared" ref="E117:E132" si="38">IF(AND(C117=0,D117=0),"",IFERROR(IF(OR(D117=0,D117=""),-C117,D117-C117),""))</f>
        <v/>
      </c>
      <c r="F117" s="84" t="str">
        <f t="shared" ref="F117:F132" si="39">IF(AND(D117=0,C117=0),"",IFERROR(IF(C117=0, D117, D117/C117),""))</f>
        <v/>
      </c>
      <c r="G117" s="83"/>
      <c r="H117" s="83"/>
      <c r="I117" s="18" t="str">
        <f t="shared" ref="I117:I132" si="40">IF(AND(G117=0,H117=0),"",IFERROR(IF(OR(H117=0,H117=""),-G117,H117-G117),""))</f>
        <v/>
      </c>
      <c r="J117" s="84" t="str">
        <f t="shared" ref="J117:J132" si="41">IF(AND(H117=0,G117=0),"",IFERROR(IF(G117=0, H117, H117/G117),""))</f>
        <v/>
      </c>
    </row>
    <row r="118" spans="1:10" ht="24.95" customHeight="1">
      <c r="A118" s="17">
        <v>2</v>
      </c>
      <c r="B118" s="24" t="s">
        <v>156</v>
      </c>
      <c r="C118" s="83"/>
      <c r="D118" s="83"/>
      <c r="E118" s="18" t="str">
        <f t="shared" si="38"/>
        <v/>
      </c>
      <c r="F118" s="84" t="str">
        <f t="shared" si="39"/>
        <v/>
      </c>
      <c r="G118" s="83"/>
      <c r="H118" s="83"/>
      <c r="I118" s="18" t="str">
        <f t="shared" si="40"/>
        <v/>
      </c>
      <c r="J118" s="84" t="str">
        <f t="shared" si="41"/>
        <v/>
      </c>
    </row>
    <row r="119" spans="1:10" ht="24.95" customHeight="1">
      <c r="A119" s="17">
        <v>3</v>
      </c>
      <c r="B119" s="85" t="s">
        <v>273</v>
      </c>
      <c r="C119" s="83"/>
      <c r="D119" s="83"/>
      <c r="E119" s="18" t="str">
        <f t="shared" si="38"/>
        <v/>
      </c>
      <c r="F119" s="84" t="str">
        <f t="shared" si="39"/>
        <v/>
      </c>
      <c r="G119" s="83"/>
      <c r="H119" s="83"/>
      <c r="I119" s="18" t="str">
        <f t="shared" si="40"/>
        <v/>
      </c>
      <c r="J119" s="84" t="str">
        <f t="shared" si="41"/>
        <v/>
      </c>
    </row>
    <row r="120" spans="1:10" ht="24.95" customHeight="1">
      <c r="A120" s="17">
        <v>4</v>
      </c>
      <c r="B120" s="85" t="s">
        <v>274</v>
      </c>
      <c r="C120" s="83"/>
      <c r="D120" s="83"/>
      <c r="E120" s="18" t="str">
        <f t="shared" si="38"/>
        <v/>
      </c>
      <c r="F120" s="84" t="str">
        <f t="shared" si="39"/>
        <v/>
      </c>
      <c r="G120" s="83"/>
      <c r="H120" s="83"/>
      <c r="I120" s="18" t="str">
        <f t="shared" si="40"/>
        <v/>
      </c>
      <c r="J120" s="84" t="str">
        <f t="shared" si="41"/>
        <v/>
      </c>
    </row>
    <row r="121" spans="1:10" ht="24.95" customHeight="1">
      <c r="A121" s="17">
        <v>5</v>
      </c>
      <c r="B121" s="15" t="s">
        <v>158</v>
      </c>
      <c r="C121" s="83"/>
      <c r="D121" s="83"/>
      <c r="E121" s="18" t="str">
        <f t="shared" si="38"/>
        <v/>
      </c>
      <c r="F121" s="84" t="str">
        <f t="shared" si="39"/>
        <v/>
      </c>
      <c r="G121" s="83"/>
      <c r="H121" s="83"/>
      <c r="I121" s="18" t="str">
        <f t="shared" si="40"/>
        <v/>
      </c>
      <c r="J121" s="84" t="str">
        <f t="shared" si="41"/>
        <v/>
      </c>
    </row>
    <row r="122" spans="1:10" ht="24.95" customHeight="1">
      <c r="A122" s="17">
        <v>6</v>
      </c>
      <c r="B122" s="73" t="s">
        <v>159</v>
      </c>
      <c r="C122" s="83"/>
      <c r="D122" s="83"/>
      <c r="E122" s="18" t="str">
        <f t="shared" si="38"/>
        <v/>
      </c>
      <c r="F122" s="84" t="str">
        <f t="shared" si="39"/>
        <v/>
      </c>
      <c r="G122" s="83"/>
      <c r="H122" s="83"/>
      <c r="I122" s="18" t="str">
        <f t="shared" si="40"/>
        <v/>
      </c>
      <c r="J122" s="84" t="str">
        <f t="shared" si="41"/>
        <v/>
      </c>
    </row>
    <row r="123" spans="1:10" ht="24.95" customHeight="1">
      <c r="A123" s="69">
        <v>7</v>
      </c>
      <c r="B123" s="31" t="s">
        <v>160</v>
      </c>
      <c r="C123" s="83"/>
      <c r="D123" s="83"/>
      <c r="E123" s="18" t="str">
        <f t="shared" si="38"/>
        <v/>
      </c>
      <c r="F123" s="84" t="str">
        <f t="shared" si="39"/>
        <v/>
      </c>
      <c r="G123" s="83"/>
      <c r="H123" s="83"/>
      <c r="I123" s="18" t="str">
        <f t="shared" si="40"/>
        <v/>
      </c>
      <c r="J123" s="84" t="str">
        <f t="shared" si="41"/>
        <v/>
      </c>
    </row>
    <row r="124" spans="1:10" ht="24.95" customHeight="1">
      <c r="A124" s="69">
        <v>8</v>
      </c>
      <c r="B124" s="31" t="s">
        <v>161</v>
      </c>
      <c r="C124" s="83"/>
      <c r="D124" s="83"/>
      <c r="E124" s="18" t="str">
        <f t="shared" si="38"/>
        <v/>
      </c>
      <c r="F124" s="84" t="str">
        <f t="shared" si="39"/>
        <v/>
      </c>
      <c r="G124" s="83"/>
      <c r="H124" s="83"/>
      <c r="I124" s="18" t="str">
        <f t="shared" si="40"/>
        <v/>
      </c>
      <c r="J124" s="84" t="str">
        <f t="shared" si="41"/>
        <v/>
      </c>
    </row>
    <row r="125" spans="1:10" ht="24.95" customHeight="1">
      <c r="A125" s="17">
        <v>9</v>
      </c>
      <c r="B125" s="39" t="s">
        <v>257</v>
      </c>
      <c r="C125" s="83"/>
      <c r="D125" s="83">
        <v>4</v>
      </c>
      <c r="E125" s="18">
        <f t="shared" si="38"/>
        <v>4</v>
      </c>
      <c r="F125" s="84">
        <f t="shared" si="39"/>
        <v>4</v>
      </c>
      <c r="G125" s="83"/>
      <c r="H125" s="83">
        <v>34</v>
      </c>
      <c r="I125" s="18">
        <f t="shared" si="40"/>
        <v>34</v>
      </c>
      <c r="J125" s="84">
        <f t="shared" si="41"/>
        <v>34</v>
      </c>
    </row>
    <row r="126" spans="1:10" ht="24.95" customHeight="1">
      <c r="A126" s="17">
        <v>10</v>
      </c>
      <c r="B126" s="24" t="s">
        <v>156</v>
      </c>
      <c r="C126" s="83"/>
      <c r="D126" s="83">
        <v>4</v>
      </c>
      <c r="E126" s="18">
        <f t="shared" si="38"/>
        <v>4</v>
      </c>
      <c r="F126" s="84">
        <f t="shared" si="39"/>
        <v>4</v>
      </c>
      <c r="G126" s="83"/>
      <c r="H126" s="83">
        <v>34</v>
      </c>
      <c r="I126" s="18">
        <f t="shared" si="40"/>
        <v>34</v>
      </c>
      <c r="J126" s="84">
        <f t="shared" si="41"/>
        <v>34</v>
      </c>
    </row>
    <row r="127" spans="1:10" ht="24.95" customHeight="1">
      <c r="A127" s="17">
        <v>11</v>
      </c>
      <c r="B127" s="24" t="s">
        <v>273</v>
      </c>
      <c r="C127" s="83"/>
      <c r="D127" s="83">
        <v>40000</v>
      </c>
      <c r="E127" s="18">
        <f t="shared" si="38"/>
        <v>40000</v>
      </c>
      <c r="F127" s="84">
        <f t="shared" si="39"/>
        <v>40000</v>
      </c>
      <c r="G127" s="83"/>
      <c r="H127" s="83">
        <v>340</v>
      </c>
      <c r="I127" s="18">
        <f t="shared" si="40"/>
        <v>340</v>
      </c>
      <c r="J127" s="84">
        <f t="shared" si="41"/>
        <v>340</v>
      </c>
    </row>
    <row r="128" spans="1:10" ht="24.95" customHeight="1">
      <c r="A128" s="17">
        <v>12</v>
      </c>
      <c r="B128" s="24" t="s">
        <v>274</v>
      </c>
      <c r="C128" s="83"/>
      <c r="D128" s="83">
        <v>4</v>
      </c>
      <c r="E128" s="18">
        <f t="shared" si="38"/>
        <v>4</v>
      </c>
      <c r="F128" s="84">
        <f t="shared" si="39"/>
        <v>4</v>
      </c>
      <c r="G128" s="83"/>
      <c r="H128" s="83">
        <v>34</v>
      </c>
      <c r="I128" s="18">
        <f t="shared" si="40"/>
        <v>34</v>
      </c>
      <c r="J128" s="84">
        <f t="shared" si="41"/>
        <v>34</v>
      </c>
    </row>
    <row r="129" spans="1:10" ht="24.95" customHeight="1">
      <c r="A129" s="17">
        <v>13</v>
      </c>
      <c r="B129" s="24" t="s">
        <v>158</v>
      </c>
      <c r="C129" s="83"/>
      <c r="D129" s="83"/>
      <c r="E129" s="18" t="str">
        <f t="shared" si="38"/>
        <v/>
      </c>
      <c r="F129" s="84" t="str">
        <f t="shared" si="39"/>
        <v/>
      </c>
      <c r="G129" s="83"/>
      <c r="H129" s="83"/>
      <c r="I129" s="18" t="str">
        <f t="shared" si="40"/>
        <v/>
      </c>
      <c r="J129" s="84" t="str">
        <f t="shared" si="41"/>
        <v/>
      </c>
    </row>
    <row r="130" spans="1:10" ht="24.95" customHeight="1">
      <c r="A130" s="17">
        <v>14</v>
      </c>
      <c r="B130" s="38" t="s">
        <v>159</v>
      </c>
      <c r="C130" s="83"/>
      <c r="D130" s="83"/>
      <c r="E130" s="18" t="str">
        <f t="shared" si="38"/>
        <v/>
      </c>
      <c r="F130" s="84" t="str">
        <f t="shared" si="39"/>
        <v/>
      </c>
      <c r="G130" s="83"/>
      <c r="H130" s="83"/>
      <c r="I130" s="18" t="str">
        <f t="shared" si="40"/>
        <v/>
      </c>
      <c r="J130" s="84" t="str">
        <f t="shared" si="41"/>
        <v/>
      </c>
    </row>
    <row r="131" spans="1:10" ht="24.95" customHeight="1">
      <c r="A131" s="69">
        <v>15</v>
      </c>
      <c r="B131" s="31" t="s">
        <v>160</v>
      </c>
      <c r="C131" s="83"/>
      <c r="D131" s="83"/>
      <c r="E131" s="18" t="str">
        <f t="shared" si="38"/>
        <v/>
      </c>
      <c r="F131" s="84" t="str">
        <f t="shared" si="39"/>
        <v/>
      </c>
      <c r="G131" s="83"/>
      <c r="H131" s="83"/>
      <c r="I131" s="18" t="str">
        <f t="shared" si="40"/>
        <v/>
      </c>
      <c r="J131" s="84" t="str">
        <f t="shared" si="41"/>
        <v/>
      </c>
    </row>
    <row r="132" spans="1:10" ht="24.95" customHeight="1">
      <c r="A132" s="17">
        <v>16</v>
      </c>
      <c r="B132" s="15" t="s">
        <v>161</v>
      </c>
      <c r="C132" s="83"/>
      <c r="D132" s="83"/>
      <c r="E132" s="18" t="str">
        <f t="shared" si="38"/>
        <v/>
      </c>
      <c r="F132" s="84" t="str">
        <f t="shared" si="39"/>
        <v/>
      </c>
      <c r="G132" s="83"/>
      <c r="H132" s="83"/>
      <c r="I132" s="18" t="str">
        <f t="shared" si="40"/>
        <v/>
      </c>
      <c r="J132" s="84" t="str">
        <f t="shared" si="41"/>
        <v/>
      </c>
    </row>
    <row r="133" spans="1:10" ht="24.95" customHeight="1">
      <c r="A133" s="86"/>
      <c r="B133" s="87"/>
      <c r="C133" s="90"/>
      <c r="D133" s="90"/>
      <c r="E133" s="89"/>
      <c r="F133" s="91"/>
      <c r="G133" s="90"/>
      <c r="H133" s="90"/>
      <c r="I133" s="89"/>
      <c r="J133" s="91"/>
    </row>
    <row r="134" spans="1:10">
      <c r="A134" s="138" t="s">
        <v>248</v>
      </c>
      <c r="B134" s="138"/>
      <c r="C134" s="138"/>
      <c r="D134" s="138"/>
      <c r="E134" s="138"/>
      <c r="F134" s="138"/>
      <c r="G134" s="138"/>
      <c r="H134" s="138"/>
      <c r="I134" s="138"/>
      <c r="J134" s="138"/>
    </row>
    <row r="135" spans="1:10">
      <c r="A135" s="139"/>
      <c r="B135" s="139"/>
      <c r="C135" s="139"/>
      <c r="D135" s="139"/>
      <c r="E135" s="139"/>
      <c r="F135" s="139"/>
      <c r="G135" s="139"/>
      <c r="H135" s="139"/>
      <c r="I135" s="139"/>
      <c r="J135" s="139"/>
    </row>
    <row r="136" spans="1:10" ht="50.1" customHeight="1">
      <c r="A136" s="26"/>
      <c r="B136" s="66" t="s">
        <v>145</v>
      </c>
      <c r="C136" s="136"/>
      <c r="D136" s="143"/>
      <c r="E136" s="137" t="s">
        <v>251</v>
      </c>
      <c r="F136" s="137"/>
      <c r="G136" s="66" t="str">
        <f>"Факт Январь-  " &amp; $J2 &amp; " 2023 г"</f>
        <v>Факт Январь-  Сентябрь 2023 г</v>
      </c>
      <c r="H136" s="66" t="str">
        <f>"Факт Январь-  " &amp; $J2 &amp; " 2024 г"</f>
        <v>Факт Январь-  Сентябрь 2024 г</v>
      </c>
      <c r="I136" s="137" t="s">
        <v>251</v>
      </c>
      <c r="J136" s="137"/>
    </row>
    <row r="137" spans="1:10" ht="22.5">
      <c r="A137" s="26"/>
      <c r="B137" s="17"/>
      <c r="C137" s="21" t="str">
        <f>"Факт " &amp; $J2 &amp; "                2023 г"</f>
        <v>Факт Сентябрь                2023 г</v>
      </c>
      <c r="D137" s="21" t="str">
        <f>"Факт " &amp; $J2 &amp; "                 2024 г"</f>
        <v>Факт Сентябрь                 2024 г</v>
      </c>
      <c r="E137" s="18" t="s">
        <v>140</v>
      </c>
      <c r="F137" s="17" t="s">
        <v>4</v>
      </c>
      <c r="G137" s="21"/>
      <c r="H137" s="21"/>
      <c r="I137" s="18" t="s">
        <v>140</v>
      </c>
      <c r="J137" s="17" t="s">
        <v>4</v>
      </c>
    </row>
    <row r="138" spans="1:10">
      <c r="A138" s="26" t="s">
        <v>1</v>
      </c>
      <c r="B138" s="17" t="s">
        <v>12</v>
      </c>
      <c r="C138" s="17">
        <v>1</v>
      </c>
      <c r="D138" s="18">
        <v>2</v>
      </c>
      <c r="E138" s="18">
        <v>3</v>
      </c>
      <c r="F138" s="17">
        <v>4</v>
      </c>
      <c r="G138" s="18">
        <v>5</v>
      </c>
      <c r="H138" s="18">
        <v>6</v>
      </c>
      <c r="I138" s="17">
        <v>7</v>
      </c>
      <c r="J138" s="18">
        <v>8</v>
      </c>
    </row>
    <row r="139" spans="1:10" ht="24.95" customHeight="1">
      <c r="A139" s="17">
        <v>1</v>
      </c>
      <c r="B139" s="23" t="s">
        <v>155</v>
      </c>
      <c r="C139" s="41"/>
      <c r="D139" s="40"/>
      <c r="E139" s="18" t="str">
        <f t="shared" ref="E139:E154" si="42">IF(AND(C139=0,D139=0),"",IFERROR(IF(OR(D139=0,D139=""),-C139,D139-C139),""))</f>
        <v/>
      </c>
      <c r="F139" s="84" t="str">
        <f t="shared" ref="F139:F154" si="43">IF(AND(D139=0,C139=0),"",IFERROR(IF(C139=0, D139, D139/C139),""))</f>
        <v/>
      </c>
      <c r="G139" s="40"/>
      <c r="H139" s="40"/>
      <c r="I139" s="19" t="str">
        <f>IFERROR(IF(H139-G139, H139-G139,""),"")</f>
        <v/>
      </c>
      <c r="J139" s="42" t="str">
        <f>IFERROR(IF(H139/G139, H139/G139,""),"")</f>
        <v/>
      </c>
    </row>
    <row r="140" spans="1:10" ht="24.95" customHeight="1">
      <c r="A140" s="17">
        <v>2</v>
      </c>
      <c r="B140" s="24" t="s">
        <v>156</v>
      </c>
      <c r="C140" s="40"/>
      <c r="D140" s="40"/>
      <c r="E140" s="18" t="str">
        <f t="shared" si="42"/>
        <v/>
      </c>
      <c r="F140" s="84" t="str">
        <f t="shared" si="43"/>
        <v/>
      </c>
      <c r="G140" s="40"/>
      <c r="H140" s="40"/>
      <c r="I140" s="18" t="str">
        <f t="shared" ref="I140:I155" si="44">IF(AND(G140=0,H140=0),"",IFERROR(IF(OR(H140=0,H140=""),-G140,H140-G140),""))</f>
        <v/>
      </c>
      <c r="J140" s="84" t="str">
        <f t="shared" ref="J140:J155" si="45">IF(AND(H140=0,G140=0),"",IFERROR(IF(G140=0, H140, H140/G140),""))</f>
        <v/>
      </c>
    </row>
    <row r="141" spans="1:10" ht="24.95" customHeight="1">
      <c r="A141" s="17">
        <v>3</v>
      </c>
      <c r="B141" s="85" t="s">
        <v>273</v>
      </c>
      <c r="C141" s="40"/>
      <c r="D141" s="40"/>
      <c r="E141" s="18" t="str">
        <f t="shared" si="42"/>
        <v/>
      </c>
      <c r="F141" s="84" t="str">
        <f t="shared" si="43"/>
        <v/>
      </c>
      <c r="G141" s="40"/>
      <c r="H141" s="40"/>
      <c r="I141" s="18" t="str">
        <f t="shared" si="44"/>
        <v/>
      </c>
      <c r="J141" s="84" t="str">
        <f t="shared" si="45"/>
        <v/>
      </c>
    </row>
    <row r="142" spans="1:10" ht="24.95" customHeight="1">
      <c r="A142" s="17">
        <v>4</v>
      </c>
      <c r="B142" s="85" t="s">
        <v>274</v>
      </c>
      <c r="C142" s="40"/>
      <c r="D142" s="40"/>
      <c r="E142" s="18" t="str">
        <f t="shared" si="42"/>
        <v/>
      </c>
      <c r="F142" s="84" t="str">
        <f t="shared" si="43"/>
        <v/>
      </c>
      <c r="G142" s="40"/>
      <c r="H142" s="40"/>
      <c r="I142" s="18" t="str">
        <f t="shared" si="44"/>
        <v/>
      </c>
      <c r="J142" s="84" t="str">
        <f t="shared" si="45"/>
        <v/>
      </c>
    </row>
    <row r="143" spans="1:10" ht="24.95" customHeight="1">
      <c r="A143" s="17">
        <v>5</v>
      </c>
      <c r="B143" s="15" t="s">
        <v>158</v>
      </c>
      <c r="C143" s="40"/>
      <c r="D143" s="40"/>
      <c r="E143" s="18" t="str">
        <f t="shared" si="42"/>
        <v/>
      </c>
      <c r="F143" s="84" t="str">
        <f t="shared" si="43"/>
        <v/>
      </c>
      <c r="G143" s="40"/>
      <c r="H143" s="40"/>
      <c r="I143" s="18" t="str">
        <f t="shared" si="44"/>
        <v/>
      </c>
      <c r="J143" s="84" t="str">
        <f t="shared" si="45"/>
        <v/>
      </c>
    </row>
    <row r="144" spans="1:10" ht="24.95" customHeight="1">
      <c r="A144" s="17">
        <v>6</v>
      </c>
      <c r="B144" s="73" t="s">
        <v>159</v>
      </c>
      <c r="C144" s="40"/>
      <c r="D144" s="40"/>
      <c r="E144" s="18" t="str">
        <f t="shared" si="42"/>
        <v/>
      </c>
      <c r="F144" s="84" t="str">
        <f t="shared" si="43"/>
        <v/>
      </c>
      <c r="G144" s="40"/>
      <c r="H144" s="40"/>
      <c r="I144" s="18" t="str">
        <f t="shared" si="44"/>
        <v/>
      </c>
      <c r="J144" s="84" t="str">
        <f t="shared" si="45"/>
        <v/>
      </c>
    </row>
    <row r="145" spans="1:10" ht="24.95" customHeight="1">
      <c r="A145" s="69">
        <v>7</v>
      </c>
      <c r="B145" s="31" t="s">
        <v>160</v>
      </c>
      <c r="C145" s="40"/>
      <c r="D145" s="40"/>
      <c r="E145" s="18" t="str">
        <f t="shared" si="42"/>
        <v/>
      </c>
      <c r="F145" s="84" t="str">
        <f t="shared" si="43"/>
        <v/>
      </c>
      <c r="G145" s="40"/>
      <c r="H145" s="40"/>
      <c r="I145" s="18" t="str">
        <f t="shared" si="44"/>
        <v/>
      </c>
      <c r="J145" s="84" t="str">
        <f t="shared" si="45"/>
        <v/>
      </c>
    </row>
    <row r="146" spans="1:10" ht="24.95" customHeight="1">
      <c r="A146" s="69">
        <v>8</v>
      </c>
      <c r="B146" s="31" t="s">
        <v>161</v>
      </c>
      <c r="C146" s="40"/>
      <c r="D146" s="40"/>
      <c r="E146" s="18" t="str">
        <f t="shared" si="42"/>
        <v/>
      </c>
      <c r="F146" s="84" t="str">
        <f t="shared" si="43"/>
        <v/>
      </c>
      <c r="G146" s="40"/>
      <c r="H146" s="40"/>
      <c r="I146" s="18" t="str">
        <f t="shared" si="44"/>
        <v/>
      </c>
      <c r="J146" s="84" t="str">
        <f t="shared" si="45"/>
        <v/>
      </c>
    </row>
    <row r="147" spans="1:10" ht="24.95" customHeight="1">
      <c r="A147" s="17">
        <v>9</v>
      </c>
      <c r="B147" s="39" t="s">
        <v>257</v>
      </c>
      <c r="C147" s="40"/>
      <c r="D147" s="40"/>
      <c r="E147" s="18" t="str">
        <f t="shared" si="42"/>
        <v/>
      </c>
      <c r="F147" s="84" t="str">
        <f t="shared" si="43"/>
        <v/>
      </c>
      <c r="G147" s="40"/>
      <c r="H147" s="40"/>
      <c r="I147" s="18" t="str">
        <f t="shared" si="44"/>
        <v/>
      </c>
      <c r="J147" s="84" t="str">
        <f t="shared" si="45"/>
        <v/>
      </c>
    </row>
    <row r="148" spans="1:10" ht="24.95" customHeight="1">
      <c r="A148" s="17">
        <v>10</v>
      </c>
      <c r="B148" s="24" t="s">
        <v>156</v>
      </c>
      <c r="C148" s="40"/>
      <c r="D148" s="40"/>
      <c r="E148" s="18" t="str">
        <f t="shared" si="42"/>
        <v/>
      </c>
      <c r="F148" s="84" t="str">
        <f t="shared" si="43"/>
        <v/>
      </c>
      <c r="G148" s="40"/>
      <c r="H148" s="40"/>
      <c r="I148" s="18" t="str">
        <f t="shared" si="44"/>
        <v/>
      </c>
      <c r="J148" s="84" t="str">
        <f t="shared" si="45"/>
        <v/>
      </c>
    </row>
    <row r="149" spans="1:10" ht="24.95" customHeight="1">
      <c r="A149" s="17">
        <v>11</v>
      </c>
      <c r="B149" s="24" t="s">
        <v>273</v>
      </c>
      <c r="C149" s="40"/>
      <c r="D149" s="40"/>
      <c r="E149" s="18" t="str">
        <f t="shared" si="42"/>
        <v/>
      </c>
      <c r="F149" s="84" t="str">
        <f t="shared" si="43"/>
        <v/>
      </c>
      <c r="G149" s="40"/>
      <c r="H149" s="40"/>
      <c r="I149" s="18" t="str">
        <f t="shared" si="44"/>
        <v/>
      </c>
      <c r="J149" s="84" t="str">
        <f t="shared" si="45"/>
        <v/>
      </c>
    </row>
    <row r="150" spans="1:10" ht="24.95" customHeight="1">
      <c r="A150" s="17">
        <v>12</v>
      </c>
      <c r="B150" s="24" t="s">
        <v>274</v>
      </c>
      <c r="C150" s="40"/>
      <c r="D150" s="40"/>
      <c r="E150" s="18" t="str">
        <f t="shared" si="42"/>
        <v/>
      </c>
      <c r="F150" s="84" t="str">
        <f t="shared" si="43"/>
        <v/>
      </c>
      <c r="G150" s="40"/>
      <c r="H150" s="40"/>
      <c r="I150" s="18" t="str">
        <f t="shared" si="44"/>
        <v/>
      </c>
      <c r="J150" s="84" t="str">
        <f t="shared" si="45"/>
        <v/>
      </c>
    </row>
    <row r="151" spans="1:10" ht="24.95" customHeight="1">
      <c r="A151" s="17">
        <v>13</v>
      </c>
      <c r="B151" s="24" t="s">
        <v>158</v>
      </c>
      <c r="C151" s="40"/>
      <c r="D151" s="40"/>
      <c r="E151" s="18" t="str">
        <f t="shared" si="42"/>
        <v/>
      </c>
      <c r="F151" s="84" t="str">
        <f t="shared" si="43"/>
        <v/>
      </c>
      <c r="G151" s="40"/>
      <c r="H151" s="40"/>
      <c r="I151" s="18" t="str">
        <f t="shared" si="44"/>
        <v/>
      </c>
      <c r="J151" s="84" t="str">
        <f t="shared" si="45"/>
        <v/>
      </c>
    </row>
    <row r="152" spans="1:10" ht="24.95" customHeight="1">
      <c r="A152" s="17">
        <v>14</v>
      </c>
      <c r="B152" s="38" t="s">
        <v>159</v>
      </c>
      <c r="C152" s="40"/>
      <c r="D152" s="40"/>
      <c r="E152" s="18" t="str">
        <f t="shared" si="42"/>
        <v/>
      </c>
      <c r="F152" s="84" t="str">
        <f t="shared" si="43"/>
        <v/>
      </c>
      <c r="G152" s="40"/>
      <c r="H152" s="40"/>
      <c r="I152" s="18" t="str">
        <f t="shared" si="44"/>
        <v/>
      </c>
      <c r="J152" s="84" t="str">
        <f t="shared" si="45"/>
        <v/>
      </c>
    </row>
    <row r="153" spans="1:10" ht="24.95" customHeight="1">
      <c r="A153" s="69">
        <v>15</v>
      </c>
      <c r="B153" s="31" t="s">
        <v>160</v>
      </c>
      <c r="C153" s="40"/>
      <c r="D153" s="40"/>
      <c r="E153" s="18" t="str">
        <f t="shared" si="42"/>
        <v/>
      </c>
      <c r="F153" s="84" t="str">
        <f t="shared" si="43"/>
        <v/>
      </c>
      <c r="G153" s="40"/>
      <c r="H153" s="40"/>
      <c r="I153" s="18" t="str">
        <f t="shared" si="44"/>
        <v/>
      </c>
      <c r="J153" s="84" t="str">
        <f t="shared" si="45"/>
        <v/>
      </c>
    </row>
    <row r="154" spans="1:10" ht="24.95" customHeight="1">
      <c r="A154" s="17">
        <v>16</v>
      </c>
      <c r="B154" s="15" t="s">
        <v>161</v>
      </c>
      <c r="C154" s="40"/>
      <c r="D154" s="40"/>
      <c r="E154" s="18" t="str">
        <f t="shared" si="42"/>
        <v/>
      </c>
      <c r="F154" s="84" t="str">
        <f t="shared" si="43"/>
        <v/>
      </c>
      <c r="G154" s="40"/>
      <c r="H154" s="40"/>
      <c r="I154" s="18" t="str">
        <f t="shared" si="44"/>
        <v/>
      </c>
      <c r="J154" s="84" t="str">
        <f t="shared" si="45"/>
        <v/>
      </c>
    </row>
    <row r="155" spans="1:10" ht="24.95" customHeight="1">
      <c r="A155" s="86"/>
      <c r="B155" s="87"/>
      <c r="C155" s="90"/>
      <c r="D155" s="90"/>
      <c r="E155" s="89"/>
      <c r="F155" s="91"/>
      <c r="G155" s="90"/>
      <c r="H155" s="134"/>
      <c r="I155" s="132" t="str">
        <f t="shared" si="44"/>
        <v/>
      </c>
      <c r="J155" s="133" t="str">
        <f t="shared" si="45"/>
        <v/>
      </c>
    </row>
    <row r="156" spans="1:10">
      <c r="A156" s="138" t="s">
        <v>249</v>
      </c>
      <c r="B156" s="138"/>
      <c r="C156" s="138"/>
      <c r="D156" s="138"/>
      <c r="E156" s="138"/>
      <c r="F156" s="138"/>
      <c r="G156" s="138"/>
      <c r="H156" s="138"/>
      <c r="I156" s="138"/>
      <c r="J156" s="138"/>
    </row>
    <row r="157" spans="1:10">
      <c r="A157" s="139"/>
      <c r="B157" s="139"/>
      <c r="C157" s="139"/>
      <c r="D157" s="139"/>
      <c r="E157" s="139"/>
      <c r="F157" s="139"/>
      <c r="G157" s="139"/>
      <c r="H157" s="139"/>
      <c r="I157" s="139"/>
      <c r="J157" s="139"/>
    </row>
    <row r="158" spans="1:10" ht="50.1" customHeight="1">
      <c r="A158" s="26"/>
      <c r="B158" s="66" t="s">
        <v>145</v>
      </c>
      <c r="C158" s="136"/>
      <c r="D158" s="143"/>
      <c r="E158" s="137" t="s">
        <v>250</v>
      </c>
      <c r="F158" s="137"/>
      <c r="G158" s="66" t="str">
        <f>"Факт Январь-  " &amp; $J2 &amp; " 2023 г"</f>
        <v>Факт Январь-  Сентябрь 2023 г</v>
      </c>
      <c r="H158" s="66" t="str">
        <f>"Факт Январь-  " &amp; $J2 &amp; " 2024 г"</f>
        <v>Факт Январь-  Сентябрь 2024 г</v>
      </c>
      <c r="I158" s="137" t="s">
        <v>251</v>
      </c>
      <c r="J158" s="137"/>
    </row>
    <row r="159" spans="1:10" ht="22.5">
      <c r="A159" s="26"/>
      <c r="B159" s="17"/>
      <c r="C159" s="21" t="str">
        <f>"Факт " &amp; $J2 &amp; "                 2023 г"</f>
        <v>Факт Сентябрь                 2023 г</v>
      </c>
      <c r="D159" s="21" t="str">
        <f>"Факт " &amp; $J2 &amp; "                      2024 г"</f>
        <v>Факт Сентябрь                      2024 г</v>
      </c>
      <c r="E159" s="18" t="s">
        <v>140</v>
      </c>
      <c r="F159" s="17" t="s">
        <v>4</v>
      </c>
      <c r="G159" s="21"/>
      <c r="H159" s="21"/>
      <c r="I159" s="18" t="s">
        <v>140</v>
      </c>
      <c r="J159" s="17" t="s">
        <v>4</v>
      </c>
    </row>
    <row r="160" spans="1:10">
      <c r="A160" s="26" t="s">
        <v>1</v>
      </c>
      <c r="B160" s="17" t="s">
        <v>12</v>
      </c>
      <c r="C160" s="17">
        <v>1</v>
      </c>
      <c r="D160" s="18">
        <v>2</v>
      </c>
      <c r="E160" s="18">
        <v>3</v>
      </c>
      <c r="F160" s="17">
        <v>4</v>
      </c>
      <c r="G160" s="18">
        <v>5</v>
      </c>
      <c r="H160" s="18">
        <v>6</v>
      </c>
      <c r="I160" s="17">
        <v>7</v>
      </c>
      <c r="J160" s="18">
        <v>8</v>
      </c>
    </row>
    <row r="161" spans="1:10" ht="24.95" customHeight="1">
      <c r="A161" s="17">
        <v>1</v>
      </c>
      <c r="B161" s="23" t="s">
        <v>155</v>
      </c>
      <c r="C161" s="113"/>
      <c r="D161" s="83"/>
      <c r="E161" s="18" t="str">
        <f t="shared" ref="E161:E176" si="46">IF(AND(C161=0,D161=0),"",IFERROR(IF(OR(D161=0,D161=""),-C161,D161-C161),""))</f>
        <v/>
      </c>
      <c r="F161" s="84" t="str">
        <f t="shared" ref="F161:F176" si="47">IF(AND(D161=0,C161=0),"",IFERROR(IF(C161=0, D161, D161/C161),""))</f>
        <v/>
      </c>
      <c r="G161" s="83"/>
      <c r="H161" s="83"/>
      <c r="I161" s="18" t="str">
        <f t="shared" ref="I161:I176" si="48">IF(AND(G161=0,H161=0),"",IFERROR(IF(OR(H161=0,H161=""),-G161,H161-G161),""))</f>
        <v/>
      </c>
      <c r="J161" s="84" t="str">
        <f t="shared" ref="J161:J176" si="49">IF(AND(H161=0,G161=0),"",IFERROR(IF(G161=0, H161, H161/G161),""))</f>
        <v/>
      </c>
    </row>
    <row r="162" spans="1:10" ht="24.95" customHeight="1">
      <c r="A162" s="17">
        <v>2</v>
      </c>
      <c r="B162" s="24" t="s">
        <v>156</v>
      </c>
      <c r="C162" s="83"/>
      <c r="D162" s="83"/>
      <c r="E162" s="18" t="str">
        <f t="shared" si="46"/>
        <v/>
      </c>
      <c r="F162" s="84" t="str">
        <f t="shared" si="47"/>
        <v/>
      </c>
      <c r="G162" s="83"/>
      <c r="H162" s="83"/>
      <c r="I162" s="18" t="str">
        <f t="shared" si="48"/>
        <v/>
      </c>
      <c r="J162" s="84" t="str">
        <f t="shared" si="49"/>
        <v/>
      </c>
    </row>
    <row r="163" spans="1:10" ht="24.95" customHeight="1">
      <c r="A163" s="17">
        <v>3</v>
      </c>
      <c r="B163" s="85" t="s">
        <v>273</v>
      </c>
      <c r="C163" s="83"/>
      <c r="D163" s="83"/>
      <c r="E163" s="18" t="str">
        <f t="shared" si="46"/>
        <v/>
      </c>
      <c r="F163" s="84" t="str">
        <f t="shared" si="47"/>
        <v/>
      </c>
      <c r="G163" s="83"/>
      <c r="H163" s="83"/>
      <c r="I163" s="18" t="str">
        <f t="shared" si="48"/>
        <v/>
      </c>
      <c r="J163" s="84" t="str">
        <f t="shared" si="49"/>
        <v/>
      </c>
    </row>
    <row r="164" spans="1:10" ht="24.95" customHeight="1">
      <c r="A164" s="17">
        <v>4</v>
      </c>
      <c r="B164" s="85" t="s">
        <v>274</v>
      </c>
      <c r="C164" s="83"/>
      <c r="D164" s="83"/>
      <c r="E164" s="18" t="str">
        <f t="shared" si="46"/>
        <v/>
      </c>
      <c r="F164" s="84" t="str">
        <f t="shared" si="47"/>
        <v/>
      </c>
      <c r="G164" s="83"/>
      <c r="H164" s="83"/>
      <c r="I164" s="18" t="str">
        <f t="shared" si="48"/>
        <v/>
      </c>
      <c r="J164" s="84" t="str">
        <f t="shared" si="49"/>
        <v/>
      </c>
    </row>
    <row r="165" spans="1:10" ht="24.95" customHeight="1">
      <c r="A165" s="17">
        <v>5</v>
      </c>
      <c r="B165" s="15" t="s">
        <v>158</v>
      </c>
      <c r="C165" s="83"/>
      <c r="D165" s="83"/>
      <c r="E165" s="18" t="str">
        <f t="shared" si="46"/>
        <v/>
      </c>
      <c r="F165" s="84" t="str">
        <f t="shared" si="47"/>
        <v/>
      </c>
      <c r="G165" s="83"/>
      <c r="H165" s="83"/>
      <c r="I165" s="18" t="str">
        <f t="shared" si="48"/>
        <v/>
      </c>
      <c r="J165" s="84" t="str">
        <f t="shared" si="49"/>
        <v/>
      </c>
    </row>
    <row r="166" spans="1:10" ht="24.95" customHeight="1">
      <c r="A166" s="17">
        <v>6</v>
      </c>
      <c r="B166" s="73" t="s">
        <v>159</v>
      </c>
      <c r="C166" s="83"/>
      <c r="D166" s="83"/>
      <c r="E166" s="18" t="str">
        <f t="shared" si="46"/>
        <v/>
      </c>
      <c r="F166" s="84" t="str">
        <f t="shared" si="47"/>
        <v/>
      </c>
      <c r="G166" s="83"/>
      <c r="H166" s="83"/>
      <c r="I166" s="18" t="str">
        <f t="shared" si="48"/>
        <v/>
      </c>
      <c r="J166" s="84" t="str">
        <f t="shared" si="49"/>
        <v/>
      </c>
    </row>
    <row r="167" spans="1:10" ht="24.95" customHeight="1">
      <c r="A167" s="17">
        <v>7</v>
      </c>
      <c r="B167" s="31" t="s">
        <v>160</v>
      </c>
      <c r="C167" s="82"/>
      <c r="D167" s="83"/>
      <c r="E167" s="18" t="str">
        <f t="shared" si="46"/>
        <v/>
      </c>
      <c r="F167" s="84" t="str">
        <f t="shared" si="47"/>
        <v/>
      </c>
      <c r="G167" s="83"/>
      <c r="H167" s="83"/>
      <c r="I167" s="18" t="str">
        <f t="shared" si="48"/>
        <v/>
      </c>
      <c r="J167" s="84" t="str">
        <f t="shared" si="49"/>
        <v/>
      </c>
    </row>
    <row r="168" spans="1:10" ht="24.95" customHeight="1">
      <c r="A168" s="17">
        <v>8</v>
      </c>
      <c r="B168" s="31" t="s">
        <v>161</v>
      </c>
      <c r="C168" s="82"/>
      <c r="D168" s="83"/>
      <c r="E168" s="18" t="str">
        <f t="shared" si="46"/>
        <v/>
      </c>
      <c r="F168" s="84" t="str">
        <f t="shared" si="47"/>
        <v/>
      </c>
      <c r="G168" s="83"/>
      <c r="H168" s="83"/>
      <c r="I168" s="18" t="str">
        <f t="shared" si="48"/>
        <v/>
      </c>
      <c r="J168" s="84" t="str">
        <f t="shared" si="49"/>
        <v/>
      </c>
    </row>
    <row r="169" spans="1:10" ht="24.95" customHeight="1">
      <c r="A169" s="17">
        <v>9</v>
      </c>
      <c r="B169" s="39" t="s">
        <v>257</v>
      </c>
      <c r="C169" s="83"/>
      <c r="D169" s="83">
        <v>25</v>
      </c>
      <c r="E169" s="18">
        <f t="shared" si="46"/>
        <v>25</v>
      </c>
      <c r="F169" s="84">
        <f t="shared" si="47"/>
        <v>25</v>
      </c>
      <c r="G169" s="83"/>
      <c r="H169" s="83">
        <v>132</v>
      </c>
      <c r="I169" s="18">
        <f t="shared" si="48"/>
        <v>132</v>
      </c>
      <c r="J169" s="84">
        <f t="shared" si="49"/>
        <v>132</v>
      </c>
    </row>
    <row r="170" spans="1:10" ht="24.95" customHeight="1">
      <c r="A170" s="17">
        <v>10</v>
      </c>
      <c r="B170" s="24" t="s">
        <v>156</v>
      </c>
      <c r="C170" s="83"/>
      <c r="D170" s="83">
        <v>25</v>
      </c>
      <c r="E170" s="18">
        <f t="shared" si="46"/>
        <v>25</v>
      </c>
      <c r="F170" s="84">
        <f t="shared" si="47"/>
        <v>25</v>
      </c>
      <c r="G170" s="83"/>
      <c r="H170" s="83">
        <v>132</v>
      </c>
      <c r="I170" s="18">
        <f t="shared" si="48"/>
        <v>132</v>
      </c>
      <c r="J170" s="84">
        <f t="shared" si="49"/>
        <v>132</v>
      </c>
    </row>
    <row r="171" spans="1:10" ht="24.95" customHeight="1">
      <c r="A171" s="17">
        <v>11</v>
      </c>
      <c r="B171" s="24" t="s">
        <v>273</v>
      </c>
      <c r="C171" s="83"/>
      <c r="D171" s="83">
        <v>2774.5</v>
      </c>
      <c r="E171" s="18">
        <f t="shared" si="46"/>
        <v>2774.5</v>
      </c>
      <c r="F171" s="84">
        <f t="shared" si="47"/>
        <v>2774.5</v>
      </c>
      <c r="G171" s="83"/>
      <c r="H171" s="83">
        <v>9884</v>
      </c>
      <c r="I171" s="18">
        <f t="shared" si="48"/>
        <v>9884</v>
      </c>
      <c r="J171" s="84">
        <f t="shared" si="49"/>
        <v>9884</v>
      </c>
    </row>
    <row r="172" spans="1:10" ht="24.95" customHeight="1">
      <c r="A172" s="17">
        <v>12</v>
      </c>
      <c r="B172" s="24" t="s">
        <v>274</v>
      </c>
      <c r="C172" s="83"/>
      <c r="D172" s="83">
        <v>23</v>
      </c>
      <c r="E172" s="18">
        <f t="shared" si="46"/>
        <v>23</v>
      </c>
      <c r="F172" s="84">
        <f t="shared" si="47"/>
        <v>23</v>
      </c>
      <c r="G172" s="83"/>
      <c r="H172" s="83">
        <v>124</v>
      </c>
      <c r="I172" s="18">
        <f t="shared" si="48"/>
        <v>124</v>
      </c>
      <c r="J172" s="84">
        <f t="shared" si="49"/>
        <v>124</v>
      </c>
    </row>
    <row r="173" spans="1:10" ht="24.95" customHeight="1">
      <c r="A173" s="17">
        <v>13</v>
      </c>
      <c r="B173" s="24" t="s">
        <v>158</v>
      </c>
      <c r="C173" s="83"/>
      <c r="D173" s="83">
        <v>2</v>
      </c>
      <c r="E173" s="18">
        <f t="shared" si="46"/>
        <v>2</v>
      </c>
      <c r="F173" s="84">
        <f t="shared" si="47"/>
        <v>2</v>
      </c>
      <c r="G173" s="83"/>
      <c r="H173" s="83">
        <v>15</v>
      </c>
      <c r="I173" s="18">
        <f t="shared" si="48"/>
        <v>15</v>
      </c>
      <c r="J173" s="84">
        <f t="shared" si="49"/>
        <v>15</v>
      </c>
    </row>
    <row r="174" spans="1:10" ht="24.95" customHeight="1">
      <c r="A174" s="17">
        <v>14</v>
      </c>
      <c r="B174" s="38" t="s">
        <v>159</v>
      </c>
      <c r="C174" s="83"/>
      <c r="D174" s="83">
        <v>2</v>
      </c>
      <c r="E174" s="18">
        <f t="shared" si="46"/>
        <v>2</v>
      </c>
      <c r="F174" s="84">
        <f t="shared" si="47"/>
        <v>2</v>
      </c>
      <c r="G174" s="83"/>
      <c r="H174" s="83">
        <v>15</v>
      </c>
      <c r="I174" s="18">
        <f t="shared" si="48"/>
        <v>15</v>
      </c>
      <c r="J174" s="84">
        <f t="shared" si="49"/>
        <v>15</v>
      </c>
    </row>
    <row r="175" spans="1:10" ht="24.95" customHeight="1">
      <c r="A175" s="17">
        <v>15</v>
      </c>
      <c r="B175" s="31" t="s">
        <v>160</v>
      </c>
      <c r="C175" s="82"/>
      <c r="D175" s="83"/>
      <c r="E175" s="18" t="str">
        <f t="shared" si="46"/>
        <v/>
      </c>
      <c r="F175" s="84" t="str">
        <f t="shared" si="47"/>
        <v/>
      </c>
      <c r="G175" s="83"/>
      <c r="H175" s="83">
        <v>14</v>
      </c>
      <c r="I175" s="18">
        <f t="shared" si="48"/>
        <v>14</v>
      </c>
      <c r="J175" s="84">
        <f t="shared" si="49"/>
        <v>14</v>
      </c>
    </row>
    <row r="176" spans="1:10" ht="24.95" customHeight="1">
      <c r="A176" s="17">
        <v>16</v>
      </c>
      <c r="B176" s="15" t="s">
        <v>161</v>
      </c>
      <c r="C176" s="83"/>
      <c r="D176" s="83">
        <v>1</v>
      </c>
      <c r="E176" s="18">
        <f t="shared" si="46"/>
        <v>1</v>
      </c>
      <c r="F176" s="84">
        <f t="shared" si="47"/>
        <v>1</v>
      </c>
      <c r="G176" s="83"/>
      <c r="H176" s="83">
        <v>10</v>
      </c>
      <c r="I176" s="18">
        <f t="shared" si="48"/>
        <v>10</v>
      </c>
      <c r="J176" s="84">
        <f t="shared" si="49"/>
        <v>10</v>
      </c>
    </row>
    <row r="178" spans="1:10">
      <c r="A178" s="138" t="s">
        <v>313</v>
      </c>
      <c r="B178" s="138"/>
      <c r="C178" s="138"/>
      <c r="D178" s="138"/>
      <c r="E178" s="138"/>
      <c r="F178" s="138"/>
      <c r="G178" s="138"/>
      <c r="H178" s="138"/>
      <c r="I178" s="138"/>
      <c r="J178" s="138"/>
    </row>
    <row r="179" spans="1:10" ht="29.25" customHeight="1">
      <c r="A179" s="139"/>
      <c r="B179" s="139"/>
      <c r="C179" s="139"/>
      <c r="D179" s="139"/>
      <c r="E179" s="139"/>
      <c r="F179" s="139"/>
      <c r="G179" s="139"/>
      <c r="H179" s="139"/>
      <c r="I179" s="139"/>
      <c r="J179" s="139"/>
    </row>
    <row r="180" spans="1:10" ht="36" customHeight="1">
      <c r="A180" s="26"/>
      <c r="B180" s="111" t="s">
        <v>145</v>
      </c>
      <c r="C180" s="136"/>
      <c r="D180" s="136"/>
      <c r="E180" s="137" t="s">
        <v>251</v>
      </c>
      <c r="F180" s="137"/>
      <c r="G180" s="111" t="str">
        <f>"Факт Январь-  " &amp; $J$2 &amp; " 2023 г"</f>
        <v>Факт Январь-  Сентябрь 2023 г</v>
      </c>
      <c r="H180" s="111" t="str">
        <f>"Факт Январь-  " &amp; $J$2&amp; " 2024 г"</f>
        <v>Факт Январь-  Сентябрь 2024 г</v>
      </c>
      <c r="I180" s="137" t="s">
        <v>251</v>
      </c>
      <c r="J180" s="137"/>
    </row>
    <row r="181" spans="1:10" ht="36" customHeight="1">
      <c r="A181" s="26"/>
      <c r="B181" s="17"/>
      <c r="C181" s="112" t="str">
        <f>"Факт " &amp; $J$2&amp; "                 2023 г"</f>
        <v>Факт Сентябрь                 2023 г</v>
      </c>
      <c r="D181" s="112" t="str">
        <f>"Факт " &amp; $J$2 &amp; "               2024 г"</f>
        <v>Факт Сентябрь               2024 г</v>
      </c>
      <c r="E181" s="18" t="s">
        <v>140</v>
      </c>
      <c r="F181" s="17" t="s">
        <v>4</v>
      </c>
      <c r="G181" s="112"/>
      <c r="H181" s="112"/>
      <c r="I181" s="18" t="s">
        <v>140</v>
      </c>
      <c r="J181" s="17" t="s">
        <v>4</v>
      </c>
    </row>
    <row r="182" spans="1:10" ht="24.95" customHeight="1">
      <c r="A182" s="26" t="s">
        <v>1</v>
      </c>
      <c r="B182" s="17" t="s">
        <v>12</v>
      </c>
      <c r="C182" s="18">
        <v>1</v>
      </c>
      <c r="D182" s="17">
        <v>2</v>
      </c>
      <c r="E182" s="18">
        <v>3</v>
      </c>
      <c r="F182" s="18">
        <v>4</v>
      </c>
      <c r="G182" s="17">
        <v>5</v>
      </c>
      <c r="H182" s="18">
        <v>6</v>
      </c>
      <c r="I182" s="18">
        <v>7</v>
      </c>
      <c r="J182" s="17">
        <v>8</v>
      </c>
    </row>
    <row r="183" spans="1:10" ht="24.95" customHeight="1">
      <c r="A183" s="17">
        <v>1</v>
      </c>
      <c r="B183" s="23" t="s">
        <v>155</v>
      </c>
      <c r="C183" s="41"/>
      <c r="D183" s="40">
        <v>1</v>
      </c>
      <c r="E183" s="18">
        <f t="shared" ref="E183:E198" si="50">IF(AND(C183=0,D183=0),"",IFERROR(IF(OR(D183=0,D183=""),-C183,D183-C183),""))</f>
        <v>1</v>
      </c>
      <c r="F183" s="84">
        <f t="shared" ref="F183:F198" si="51">IF(AND(D183=0,C183=0),"",IFERROR(IF(C183=0, D183, D183/C183),""))</f>
        <v>1</v>
      </c>
      <c r="G183" s="40"/>
      <c r="H183" s="40">
        <v>3</v>
      </c>
      <c r="I183" s="18">
        <f t="shared" ref="I183:I198" si="52">IF(AND(G183=0,H183=0),"",IFERROR(IF(OR(H183=0,H183=""),-G183,H183-G183),""))</f>
        <v>3</v>
      </c>
      <c r="J183" s="84">
        <f t="shared" ref="J183:J198" si="53">IF(AND(H183=0,G183=0),"",IFERROR(IF(G183=0, H183, H183/G183),""))</f>
        <v>3</v>
      </c>
    </row>
    <row r="184" spans="1:10" ht="24.95" customHeight="1">
      <c r="A184" s="17">
        <v>2</v>
      </c>
      <c r="B184" s="24" t="s">
        <v>156</v>
      </c>
      <c r="C184" s="40"/>
      <c r="D184" s="40">
        <v>1</v>
      </c>
      <c r="E184" s="18">
        <f t="shared" si="50"/>
        <v>1</v>
      </c>
      <c r="F184" s="84">
        <f t="shared" si="51"/>
        <v>1</v>
      </c>
      <c r="G184" s="40"/>
      <c r="H184" s="40">
        <v>3</v>
      </c>
      <c r="I184" s="18">
        <f t="shared" si="52"/>
        <v>3</v>
      </c>
      <c r="J184" s="84">
        <f t="shared" si="53"/>
        <v>3</v>
      </c>
    </row>
    <row r="185" spans="1:10" ht="24.95" customHeight="1">
      <c r="A185" s="17">
        <v>3</v>
      </c>
      <c r="B185" s="85" t="s">
        <v>273</v>
      </c>
      <c r="C185" s="40"/>
      <c r="D185" s="40">
        <v>200</v>
      </c>
      <c r="E185" s="18">
        <f t="shared" si="50"/>
        <v>200</v>
      </c>
      <c r="F185" s="84">
        <f t="shared" si="51"/>
        <v>200</v>
      </c>
      <c r="G185" s="40"/>
      <c r="H185" s="40">
        <v>220</v>
      </c>
      <c r="I185" s="18">
        <f t="shared" si="52"/>
        <v>220</v>
      </c>
      <c r="J185" s="84">
        <f t="shared" si="53"/>
        <v>220</v>
      </c>
    </row>
    <row r="186" spans="1:10" ht="24.95" customHeight="1">
      <c r="A186" s="17">
        <v>4</v>
      </c>
      <c r="B186" s="85" t="s">
        <v>274</v>
      </c>
      <c r="C186" s="40"/>
      <c r="D186" s="40">
        <v>1</v>
      </c>
      <c r="E186" s="18">
        <f t="shared" si="50"/>
        <v>1</v>
      </c>
      <c r="F186" s="84">
        <f t="shared" si="51"/>
        <v>1</v>
      </c>
      <c r="G186" s="40"/>
      <c r="H186" s="40">
        <v>3</v>
      </c>
      <c r="I186" s="18">
        <f t="shared" si="52"/>
        <v>3</v>
      </c>
      <c r="J186" s="84">
        <f t="shared" si="53"/>
        <v>3</v>
      </c>
    </row>
    <row r="187" spans="1:10" ht="24.95" customHeight="1">
      <c r="A187" s="17">
        <v>5</v>
      </c>
      <c r="B187" s="15" t="s">
        <v>158</v>
      </c>
      <c r="C187" s="40"/>
      <c r="D187" s="40"/>
      <c r="E187" s="18" t="str">
        <f t="shared" si="50"/>
        <v/>
      </c>
      <c r="F187" s="84" t="str">
        <f t="shared" si="51"/>
        <v/>
      </c>
      <c r="G187" s="40"/>
      <c r="H187" s="40">
        <v>1</v>
      </c>
      <c r="I187" s="18">
        <f t="shared" si="52"/>
        <v>1</v>
      </c>
      <c r="J187" s="84">
        <f t="shared" si="53"/>
        <v>1</v>
      </c>
    </row>
    <row r="188" spans="1:10" ht="24.95" customHeight="1">
      <c r="A188" s="17">
        <v>6</v>
      </c>
      <c r="B188" s="73" t="s">
        <v>159</v>
      </c>
      <c r="C188" s="40"/>
      <c r="D188" s="40"/>
      <c r="E188" s="18" t="str">
        <f t="shared" si="50"/>
        <v/>
      </c>
      <c r="F188" s="84" t="str">
        <f t="shared" si="51"/>
        <v/>
      </c>
      <c r="G188" s="40"/>
      <c r="H188" s="40">
        <v>0</v>
      </c>
      <c r="I188" s="18" t="str">
        <f t="shared" si="52"/>
        <v/>
      </c>
      <c r="J188" s="84" t="str">
        <f t="shared" si="53"/>
        <v/>
      </c>
    </row>
    <row r="189" spans="1:10" ht="24.95" customHeight="1">
      <c r="A189" s="112">
        <v>7</v>
      </c>
      <c r="B189" s="31" t="s">
        <v>160</v>
      </c>
      <c r="C189" s="40"/>
      <c r="D189" s="40"/>
      <c r="E189" s="18" t="str">
        <f t="shared" si="50"/>
        <v/>
      </c>
      <c r="F189" s="84" t="str">
        <f t="shared" si="51"/>
        <v/>
      </c>
      <c r="G189" s="40"/>
      <c r="H189" s="40">
        <v>2</v>
      </c>
      <c r="I189" s="18">
        <f t="shared" si="52"/>
        <v>2</v>
      </c>
      <c r="J189" s="84">
        <f t="shared" si="53"/>
        <v>2</v>
      </c>
    </row>
    <row r="190" spans="1:10" ht="24.95" customHeight="1">
      <c r="A190" s="112">
        <v>8</v>
      </c>
      <c r="B190" s="31" t="s">
        <v>161</v>
      </c>
      <c r="C190" s="40"/>
      <c r="D190" s="40"/>
      <c r="E190" s="18" t="str">
        <f t="shared" si="50"/>
        <v/>
      </c>
      <c r="F190" s="84" t="str">
        <f t="shared" si="51"/>
        <v/>
      </c>
      <c r="G190" s="40"/>
      <c r="H190" s="40">
        <v>0</v>
      </c>
      <c r="I190" s="18" t="str">
        <f t="shared" si="52"/>
        <v/>
      </c>
      <c r="J190" s="84" t="str">
        <f t="shared" si="53"/>
        <v/>
      </c>
    </row>
    <row r="191" spans="1:10" ht="24.95" customHeight="1">
      <c r="A191" s="17">
        <v>9</v>
      </c>
      <c r="B191" s="39" t="s">
        <v>257</v>
      </c>
      <c r="C191" s="40"/>
      <c r="D191" s="40"/>
      <c r="E191" s="18" t="str">
        <f t="shared" si="50"/>
        <v/>
      </c>
      <c r="F191" s="84" t="str">
        <f t="shared" si="51"/>
        <v/>
      </c>
      <c r="G191" s="40"/>
      <c r="H191" s="40">
        <v>4</v>
      </c>
      <c r="I191" s="18">
        <f t="shared" si="52"/>
        <v>4</v>
      </c>
      <c r="J191" s="84">
        <f t="shared" si="53"/>
        <v>4</v>
      </c>
    </row>
    <row r="192" spans="1:10" ht="24.95" customHeight="1">
      <c r="A192" s="17">
        <v>10</v>
      </c>
      <c r="B192" s="24" t="s">
        <v>156</v>
      </c>
      <c r="C192" s="40"/>
      <c r="D192" s="40"/>
      <c r="E192" s="18" t="str">
        <f t="shared" si="50"/>
        <v/>
      </c>
      <c r="F192" s="84" t="str">
        <f t="shared" si="51"/>
        <v/>
      </c>
      <c r="G192" s="40"/>
      <c r="H192" s="40">
        <v>4</v>
      </c>
      <c r="I192" s="18">
        <f t="shared" si="52"/>
        <v>4</v>
      </c>
      <c r="J192" s="84">
        <f t="shared" si="53"/>
        <v>4</v>
      </c>
    </row>
    <row r="193" spans="1:10" ht="24.95" customHeight="1">
      <c r="A193" s="17">
        <v>11</v>
      </c>
      <c r="B193" s="24" t="s">
        <v>273</v>
      </c>
      <c r="C193" s="40"/>
      <c r="D193" s="40"/>
      <c r="E193" s="18" t="str">
        <f t="shared" si="50"/>
        <v/>
      </c>
      <c r="F193" s="84" t="str">
        <f t="shared" si="51"/>
        <v/>
      </c>
      <c r="G193" s="40"/>
      <c r="H193" s="40">
        <v>40</v>
      </c>
      <c r="I193" s="18">
        <f t="shared" si="52"/>
        <v>40</v>
      </c>
      <c r="J193" s="84">
        <f t="shared" si="53"/>
        <v>40</v>
      </c>
    </row>
    <row r="194" spans="1:10" ht="24.95" customHeight="1">
      <c r="A194" s="17">
        <v>12</v>
      </c>
      <c r="B194" s="24" t="s">
        <v>274</v>
      </c>
      <c r="C194" s="40"/>
      <c r="D194" s="40"/>
      <c r="E194" s="18" t="str">
        <f t="shared" si="50"/>
        <v/>
      </c>
      <c r="F194" s="84" t="str">
        <f t="shared" si="51"/>
        <v/>
      </c>
      <c r="G194" s="40"/>
      <c r="H194" s="40">
        <v>4</v>
      </c>
      <c r="I194" s="18">
        <f t="shared" si="52"/>
        <v>4</v>
      </c>
      <c r="J194" s="84">
        <f t="shared" si="53"/>
        <v>4</v>
      </c>
    </row>
    <row r="195" spans="1:10" ht="24.95" customHeight="1">
      <c r="A195" s="17">
        <v>13</v>
      </c>
      <c r="B195" s="24" t="s">
        <v>158</v>
      </c>
      <c r="C195" s="40"/>
      <c r="D195" s="40"/>
      <c r="E195" s="18" t="str">
        <f t="shared" si="50"/>
        <v/>
      </c>
      <c r="F195" s="84" t="str">
        <f t="shared" si="51"/>
        <v/>
      </c>
      <c r="G195" s="40"/>
      <c r="H195" s="40">
        <v>0</v>
      </c>
      <c r="I195" s="18" t="str">
        <f t="shared" si="52"/>
        <v/>
      </c>
      <c r="J195" s="84" t="str">
        <f t="shared" si="53"/>
        <v/>
      </c>
    </row>
    <row r="196" spans="1:10" ht="24.95" customHeight="1">
      <c r="A196" s="17">
        <v>14</v>
      </c>
      <c r="B196" s="38" t="s">
        <v>159</v>
      </c>
      <c r="C196" s="40"/>
      <c r="D196" s="40"/>
      <c r="E196" s="18" t="str">
        <f t="shared" si="50"/>
        <v/>
      </c>
      <c r="F196" s="84" t="str">
        <f t="shared" si="51"/>
        <v/>
      </c>
      <c r="G196" s="40"/>
      <c r="H196" s="40">
        <v>0</v>
      </c>
      <c r="I196" s="18" t="str">
        <f t="shared" si="52"/>
        <v/>
      </c>
      <c r="J196" s="84" t="str">
        <f t="shared" si="53"/>
        <v/>
      </c>
    </row>
    <row r="197" spans="1:10" ht="24.95" customHeight="1">
      <c r="A197" s="112">
        <v>15</v>
      </c>
      <c r="B197" s="31" t="s">
        <v>160</v>
      </c>
      <c r="C197" s="40"/>
      <c r="D197" s="40"/>
      <c r="E197" s="18" t="str">
        <f t="shared" si="50"/>
        <v/>
      </c>
      <c r="F197" s="84" t="str">
        <f t="shared" si="51"/>
        <v/>
      </c>
      <c r="G197" s="40"/>
      <c r="H197" s="40">
        <v>2</v>
      </c>
      <c r="I197" s="18">
        <f t="shared" si="52"/>
        <v>2</v>
      </c>
      <c r="J197" s="84">
        <f t="shared" si="53"/>
        <v>2</v>
      </c>
    </row>
    <row r="198" spans="1:10" ht="24.95" customHeight="1">
      <c r="A198" s="17">
        <v>16</v>
      </c>
      <c r="B198" s="15" t="s">
        <v>161</v>
      </c>
      <c r="C198" s="40"/>
      <c r="D198" s="40"/>
      <c r="E198" s="18" t="str">
        <f t="shared" si="50"/>
        <v/>
      </c>
      <c r="F198" s="84" t="str">
        <f t="shared" si="51"/>
        <v/>
      </c>
      <c r="G198" s="40"/>
      <c r="H198" s="40">
        <v>0</v>
      </c>
      <c r="I198" s="18" t="str">
        <f t="shared" si="52"/>
        <v/>
      </c>
      <c r="J198" s="84" t="str">
        <f t="shared" si="53"/>
        <v/>
      </c>
    </row>
    <row r="200" spans="1:10">
      <c r="A200" s="138" t="s">
        <v>314</v>
      </c>
      <c r="B200" s="138"/>
      <c r="C200" s="138"/>
      <c r="D200" s="138"/>
      <c r="E200" s="138"/>
      <c r="F200" s="138"/>
      <c r="G200" s="138"/>
      <c r="H200" s="138"/>
      <c r="I200" s="138"/>
      <c r="J200" s="138"/>
    </row>
    <row r="201" spans="1:10" ht="25.5" customHeight="1">
      <c r="A201" s="139"/>
      <c r="B201" s="139"/>
      <c r="C201" s="139"/>
      <c r="D201" s="139"/>
      <c r="E201" s="139"/>
      <c r="F201" s="139"/>
      <c r="G201" s="139"/>
      <c r="H201" s="139"/>
      <c r="I201" s="139"/>
      <c r="J201" s="139"/>
    </row>
    <row r="202" spans="1:10" ht="36" customHeight="1">
      <c r="A202" s="26"/>
      <c r="B202" s="111" t="s">
        <v>145</v>
      </c>
      <c r="C202" s="136"/>
      <c r="D202" s="136"/>
      <c r="E202" s="137" t="s">
        <v>251</v>
      </c>
      <c r="F202" s="137"/>
      <c r="G202" s="111" t="str">
        <f>"Факт Январь-  " &amp; $J$2 &amp; " 2023 г"</f>
        <v>Факт Январь-  Сентябрь 2023 г</v>
      </c>
      <c r="H202" s="111" t="str">
        <f>"Факт Январь-  " &amp; $J$2&amp; " 2024 г"</f>
        <v>Факт Январь-  Сентябрь 2024 г</v>
      </c>
      <c r="I202" s="137" t="s">
        <v>251</v>
      </c>
      <c r="J202" s="137"/>
    </row>
    <row r="203" spans="1:10" ht="36" customHeight="1">
      <c r="A203" s="26"/>
      <c r="B203" s="17"/>
      <c r="C203" s="112" t="str">
        <f>"Факт " &amp; $J$2&amp; "                 2023 г"</f>
        <v>Факт Сентябрь                 2023 г</v>
      </c>
      <c r="D203" s="112" t="str">
        <f>"Факт " &amp; $J$2 &amp; "               2024 г"</f>
        <v>Факт Сентябрь               2024 г</v>
      </c>
      <c r="E203" s="18" t="s">
        <v>140</v>
      </c>
      <c r="F203" s="17" t="s">
        <v>4</v>
      </c>
      <c r="G203" s="112"/>
      <c r="H203" s="112"/>
      <c r="I203" s="18" t="s">
        <v>140</v>
      </c>
      <c r="J203" s="17" t="s">
        <v>4</v>
      </c>
    </row>
    <row r="204" spans="1:10" ht="24.95" customHeight="1">
      <c r="A204" s="26" t="s">
        <v>1</v>
      </c>
      <c r="B204" s="17" t="s">
        <v>12</v>
      </c>
      <c r="C204" s="18">
        <v>1</v>
      </c>
      <c r="D204" s="17">
        <v>2</v>
      </c>
      <c r="E204" s="18">
        <v>3</v>
      </c>
      <c r="F204" s="18">
        <v>4</v>
      </c>
      <c r="G204" s="17">
        <v>5</v>
      </c>
      <c r="H204" s="18">
        <v>6</v>
      </c>
      <c r="I204" s="18">
        <v>7</v>
      </c>
      <c r="J204" s="17">
        <v>8</v>
      </c>
    </row>
    <row r="205" spans="1:10" ht="24.95" customHeight="1">
      <c r="A205" s="17">
        <v>1</v>
      </c>
      <c r="B205" s="23" t="s">
        <v>155</v>
      </c>
      <c r="C205" s="41"/>
      <c r="D205" s="40"/>
      <c r="E205" s="18" t="str">
        <f t="shared" ref="E205:E220" si="54">IF(AND(C205=0,D205=0),"",IFERROR(IF(OR(D205=0,D205=""),-C205,D205-C205),""))</f>
        <v/>
      </c>
      <c r="F205" s="84" t="str">
        <f t="shared" ref="F205:F220" si="55">IF(AND(D205=0,C205=0),"",IFERROR(IF(C205=0, D205, D205/C205),""))</f>
        <v/>
      </c>
      <c r="G205" s="40"/>
      <c r="H205" s="40"/>
      <c r="I205" s="18" t="str">
        <f t="shared" ref="I205:I220" si="56">IF(AND(G205=0,H205=0),"",IFERROR(IF(OR(H205=0,H205=""),-G205,H205-G205),""))</f>
        <v/>
      </c>
      <c r="J205" s="84" t="str">
        <f t="shared" ref="J205:J220" si="57">IF(AND(H205=0,G205=0),"",IFERROR(IF(G205=0, H205, H205/G205),""))</f>
        <v/>
      </c>
    </row>
    <row r="206" spans="1:10" ht="24.95" customHeight="1">
      <c r="A206" s="17">
        <v>2</v>
      </c>
      <c r="B206" s="24" t="s">
        <v>156</v>
      </c>
      <c r="C206" s="40"/>
      <c r="D206" s="40"/>
      <c r="E206" s="18" t="str">
        <f t="shared" si="54"/>
        <v/>
      </c>
      <c r="F206" s="84" t="str">
        <f t="shared" si="55"/>
        <v/>
      </c>
      <c r="G206" s="40"/>
      <c r="H206" s="40"/>
      <c r="I206" s="18" t="str">
        <f t="shared" si="56"/>
        <v/>
      </c>
      <c r="J206" s="84" t="str">
        <f t="shared" si="57"/>
        <v/>
      </c>
    </row>
    <row r="207" spans="1:10" ht="24.95" customHeight="1">
      <c r="A207" s="17">
        <v>3</v>
      </c>
      <c r="B207" s="85" t="s">
        <v>273</v>
      </c>
      <c r="C207" s="40"/>
      <c r="D207" s="40"/>
      <c r="E207" s="18" t="str">
        <f t="shared" si="54"/>
        <v/>
      </c>
      <c r="F207" s="84" t="str">
        <f t="shared" si="55"/>
        <v/>
      </c>
      <c r="G207" s="40"/>
      <c r="H207" s="40"/>
      <c r="I207" s="18" t="str">
        <f t="shared" si="56"/>
        <v/>
      </c>
      <c r="J207" s="84" t="str">
        <f t="shared" si="57"/>
        <v/>
      </c>
    </row>
    <row r="208" spans="1:10" ht="24.95" customHeight="1">
      <c r="A208" s="17">
        <v>4</v>
      </c>
      <c r="B208" s="85" t="s">
        <v>274</v>
      </c>
      <c r="C208" s="40"/>
      <c r="D208" s="40"/>
      <c r="E208" s="18" t="str">
        <f t="shared" si="54"/>
        <v/>
      </c>
      <c r="F208" s="84" t="str">
        <f t="shared" si="55"/>
        <v/>
      </c>
      <c r="G208" s="40"/>
      <c r="H208" s="40"/>
      <c r="I208" s="18" t="str">
        <f t="shared" si="56"/>
        <v/>
      </c>
      <c r="J208" s="84" t="str">
        <f t="shared" si="57"/>
        <v/>
      </c>
    </row>
    <row r="209" spans="1:10" ht="24.95" customHeight="1">
      <c r="A209" s="17">
        <v>5</v>
      </c>
      <c r="B209" s="15" t="s">
        <v>158</v>
      </c>
      <c r="C209" s="40"/>
      <c r="D209" s="40"/>
      <c r="E209" s="18" t="str">
        <f t="shared" si="54"/>
        <v/>
      </c>
      <c r="F209" s="84" t="str">
        <f t="shared" si="55"/>
        <v/>
      </c>
      <c r="G209" s="40"/>
      <c r="H209" s="40"/>
      <c r="I209" s="18" t="str">
        <f t="shared" si="56"/>
        <v/>
      </c>
      <c r="J209" s="84" t="str">
        <f t="shared" si="57"/>
        <v/>
      </c>
    </row>
    <row r="210" spans="1:10" ht="24.95" customHeight="1">
      <c r="A210" s="17">
        <v>6</v>
      </c>
      <c r="B210" s="73" t="s">
        <v>159</v>
      </c>
      <c r="C210" s="40"/>
      <c r="D210" s="40"/>
      <c r="E210" s="18" t="str">
        <f t="shared" si="54"/>
        <v/>
      </c>
      <c r="F210" s="84" t="str">
        <f t="shared" si="55"/>
        <v/>
      </c>
      <c r="G210" s="40"/>
      <c r="H210" s="40"/>
      <c r="I210" s="18" t="str">
        <f t="shared" si="56"/>
        <v/>
      </c>
      <c r="J210" s="84" t="str">
        <f t="shared" si="57"/>
        <v/>
      </c>
    </row>
    <row r="211" spans="1:10" ht="24.95" customHeight="1">
      <c r="A211" s="112">
        <v>7</v>
      </c>
      <c r="B211" s="31" t="s">
        <v>160</v>
      </c>
      <c r="C211" s="40"/>
      <c r="D211" s="40"/>
      <c r="E211" s="18" t="str">
        <f t="shared" si="54"/>
        <v/>
      </c>
      <c r="F211" s="84" t="str">
        <f t="shared" si="55"/>
        <v/>
      </c>
      <c r="G211" s="40"/>
      <c r="H211" s="40"/>
      <c r="I211" s="18" t="str">
        <f t="shared" si="56"/>
        <v/>
      </c>
      <c r="J211" s="84" t="str">
        <f t="shared" si="57"/>
        <v/>
      </c>
    </row>
    <row r="212" spans="1:10" ht="24.95" customHeight="1">
      <c r="A212" s="112">
        <v>8</v>
      </c>
      <c r="B212" s="31" t="s">
        <v>161</v>
      </c>
      <c r="C212" s="40"/>
      <c r="D212" s="40"/>
      <c r="E212" s="18" t="str">
        <f t="shared" si="54"/>
        <v/>
      </c>
      <c r="F212" s="84" t="str">
        <f t="shared" si="55"/>
        <v/>
      </c>
      <c r="G212" s="40"/>
      <c r="H212" s="40"/>
      <c r="I212" s="18" t="str">
        <f t="shared" si="56"/>
        <v/>
      </c>
      <c r="J212" s="84" t="str">
        <f t="shared" si="57"/>
        <v/>
      </c>
    </row>
    <row r="213" spans="1:10" ht="24.95" customHeight="1">
      <c r="A213" s="17">
        <v>9</v>
      </c>
      <c r="B213" s="39" t="s">
        <v>257</v>
      </c>
      <c r="C213" s="40"/>
      <c r="D213" s="40">
        <v>4</v>
      </c>
      <c r="E213" s="18">
        <f t="shared" si="54"/>
        <v>4</v>
      </c>
      <c r="F213" s="84">
        <f t="shared" si="55"/>
        <v>4</v>
      </c>
      <c r="G213" s="40"/>
      <c r="H213" s="40">
        <v>34</v>
      </c>
      <c r="I213" s="18">
        <f t="shared" si="56"/>
        <v>34</v>
      </c>
      <c r="J213" s="84">
        <f t="shared" si="57"/>
        <v>34</v>
      </c>
    </row>
    <row r="214" spans="1:10" ht="24.95" customHeight="1">
      <c r="A214" s="17">
        <v>10</v>
      </c>
      <c r="B214" s="24" t="s">
        <v>156</v>
      </c>
      <c r="C214" s="40"/>
      <c r="D214" s="40">
        <v>4</v>
      </c>
      <c r="E214" s="18">
        <f t="shared" si="54"/>
        <v>4</v>
      </c>
      <c r="F214" s="84">
        <f t="shared" si="55"/>
        <v>4</v>
      </c>
      <c r="G214" s="40"/>
      <c r="H214" s="40">
        <v>34</v>
      </c>
      <c r="I214" s="18">
        <f t="shared" si="56"/>
        <v>34</v>
      </c>
      <c r="J214" s="84">
        <f t="shared" si="57"/>
        <v>34</v>
      </c>
    </row>
    <row r="215" spans="1:10" ht="24.95" customHeight="1">
      <c r="A215" s="17">
        <v>11</v>
      </c>
      <c r="B215" s="24" t="s">
        <v>273</v>
      </c>
      <c r="C215" s="40"/>
      <c r="D215" s="40">
        <v>40</v>
      </c>
      <c r="E215" s="18">
        <f t="shared" si="54"/>
        <v>40</v>
      </c>
      <c r="F215" s="84">
        <f t="shared" si="55"/>
        <v>40</v>
      </c>
      <c r="G215" s="40"/>
      <c r="H215" s="40">
        <v>340</v>
      </c>
      <c r="I215" s="18">
        <f t="shared" si="56"/>
        <v>340</v>
      </c>
      <c r="J215" s="84">
        <f t="shared" si="57"/>
        <v>340</v>
      </c>
    </row>
    <row r="216" spans="1:10" ht="24.95" customHeight="1">
      <c r="A216" s="17">
        <v>12</v>
      </c>
      <c r="B216" s="24" t="s">
        <v>274</v>
      </c>
      <c r="C216" s="40"/>
      <c r="D216" s="40">
        <v>4</v>
      </c>
      <c r="E216" s="18">
        <f t="shared" si="54"/>
        <v>4</v>
      </c>
      <c r="F216" s="84">
        <f t="shared" si="55"/>
        <v>4</v>
      </c>
      <c r="G216" s="40"/>
      <c r="H216" s="40">
        <v>34</v>
      </c>
      <c r="I216" s="18">
        <f t="shared" si="56"/>
        <v>34</v>
      </c>
      <c r="J216" s="84">
        <f t="shared" si="57"/>
        <v>34</v>
      </c>
    </row>
    <row r="217" spans="1:10" ht="24.95" customHeight="1">
      <c r="A217" s="17">
        <v>13</v>
      </c>
      <c r="B217" s="24" t="s">
        <v>158</v>
      </c>
      <c r="C217" s="40"/>
      <c r="D217" s="40"/>
      <c r="E217" s="18" t="str">
        <f t="shared" si="54"/>
        <v/>
      </c>
      <c r="F217" s="84" t="str">
        <f t="shared" si="55"/>
        <v/>
      </c>
      <c r="G217" s="40"/>
      <c r="H217" s="40"/>
      <c r="I217" s="18" t="str">
        <f t="shared" si="56"/>
        <v/>
      </c>
      <c r="J217" s="84" t="str">
        <f t="shared" si="57"/>
        <v/>
      </c>
    </row>
    <row r="218" spans="1:10" ht="24.95" customHeight="1">
      <c r="A218" s="17">
        <v>14</v>
      </c>
      <c r="B218" s="38" t="s">
        <v>159</v>
      </c>
      <c r="C218" s="40"/>
      <c r="D218" s="40"/>
      <c r="E218" s="18" t="str">
        <f t="shared" si="54"/>
        <v/>
      </c>
      <c r="F218" s="84" t="str">
        <f t="shared" si="55"/>
        <v/>
      </c>
      <c r="G218" s="40"/>
      <c r="H218" s="40"/>
      <c r="I218" s="18" t="str">
        <f t="shared" si="56"/>
        <v/>
      </c>
      <c r="J218" s="84" t="str">
        <f t="shared" si="57"/>
        <v/>
      </c>
    </row>
    <row r="219" spans="1:10" ht="24.95" customHeight="1">
      <c r="A219" s="112">
        <v>15</v>
      </c>
      <c r="B219" s="31" t="s">
        <v>160</v>
      </c>
      <c r="C219" s="40"/>
      <c r="D219" s="40"/>
      <c r="E219" s="18" t="str">
        <f t="shared" si="54"/>
        <v/>
      </c>
      <c r="F219" s="84" t="str">
        <f t="shared" si="55"/>
        <v/>
      </c>
      <c r="G219" s="40"/>
      <c r="H219" s="40"/>
      <c r="I219" s="18" t="str">
        <f t="shared" si="56"/>
        <v/>
      </c>
      <c r="J219" s="84" t="str">
        <f t="shared" si="57"/>
        <v/>
      </c>
    </row>
    <row r="220" spans="1:10" ht="24.95" customHeight="1">
      <c r="A220" s="17">
        <v>16</v>
      </c>
      <c r="B220" s="15" t="s">
        <v>161</v>
      </c>
      <c r="C220" s="40"/>
      <c r="D220" s="40"/>
      <c r="E220" s="18" t="str">
        <f t="shared" si="54"/>
        <v/>
      </c>
      <c r="F220" s="84" t="str">
        <f t="shared" si="55"/>
        <v/>
      </c>
      <c r="G220" s="40"/>
      <c r="H220" s="40"/>
      <c r="I220" s="18" t="str">
        <f t="shared" si="56"/>
        <v/>
      </c>
      <c r="J220" s="84" t="str">
        <f t="shared" si="57"/>
        <v/>
      </c>
    </row>
    <row r="222" spans="1:10">
      <c r="A222" s="138" t="s">
        <v>315</v>
      </c>
      <c r="B222" s="138"/>
      <c r="C222" s="138"/>
      <c r="D222" s="138"/>
      <c r="E222" s="138"/>
      <c r="F222" s="138"/>
      <c r="G222" s="138"/>
      <c r="H222" s="138"/>
      <c r="I222" s="138"/>
      <c r="J222" s="138"/>
    </row>
    <row r="223" spans="1:10">
      <c r="A223" s="139"/>
      <c r="B223" s="139"/>
      <c r="C223" s="139"/>
      <c r="D223" s="139"/>
      <c r="E223" s="139"/>
      <c r="F223" s="139"/>
      <c r="G223" s="139"/>
      <c r="H223" s="139"/>
      <c r="I223" s="139"/>
      <c r="J223" s="139"/>
    </row>
    <row r="224" spans="1:10" ht="36" customHeight="1">
      <c r="A224" s="26"/>
      <c r="B224" s="111" t="s">
        <v>145</v>
      </c>
      <c r="C224" s="136"/>
      <c r="D224" s="136"/>
      <c r="E224" s="137" t="s">
        <v>251</v>
      </c>
      <c r="F224" s="137"/>
      <c r="G224" s="111" t="str">
        <f>"Факт Январь-  " &amp; $J$2 &amp; " 2023 г"</f>
        <v>Факт Январь-  Сентябрь 2023 г</v>
      </c>
      <c r="H224" s="111" t="str">
        <f>"Факт Январь-  " &amp; $J$2&amp; " 2024 г"</f>
        <v>Факт Январь-  Сентябрь 2024 г</v>
      </c>
      <c r="I224" s="137" t="s">
        <v>251</v>
      </c>
      <c r="J224" s="137"/>
    </row>
    <row r="225" spans="1:10" ht="36" customHeight="1">
      <c r="A225" s="26"/>
      <c r="B225" s="17"/>
      <c r="C225" s="112" t="str">
        <f>"Факт " &amp; $J$2&amp; "                 2023 г"</f>
        <v>Факт Сентябрь                 2023 г</v>
      </c>
      <c r="D225" s="112" t="str">
        <f>"Факт " &amp; $J$2 &amp; "               2024 г"</f>
        <v>Факт Сентябрь               2024 г</v>
      </c>
      <c r="E225" s="18" t="s">
        <v>140</v>
      </c>
      <c r="F225" s="17" t="s">
        <v>4</v>
      </c>
      <c r="G225" s="112"/>
      <c r="H225" s="112"/>
      <c r="I225" s="18" t="s">
        <v>140</v>
      </c>
      <c r="J225" s="17" t="s">
        <v>4</v>
      </c>
    </row>
    <row r="226" spans="1:10" ht="24.95" customHeight="1">
      <c r="A226" s="26" t="s">
        <v>1</v>
      </c>
      <c r="B226" s="17" t="s">
        <v>12</v>
      </c>
      <c r="C226" s="18">
        <v>1</v>
      </c>
      <c r="D226" s="17">
        <v>2</v>
      </c>
      <c r="E226" s="18">
        <v>3</v>
      </c>
      <c r="F226" s="18">
        <v>4</v>
      </c>
      <c r="G226" s="17">
        <v>5</v>
      </c>
      <c r="H226" s="18">
        <v>6</v>
      </c>
      <c r="I226" s="18">
        <v>7</v>
      </c>
      <c r="J226" s="17">
        <v>8</v>
      </c>
    </row>
    <row r="227" spans="1:10" ht="24.95" customHeight="1">
      <c r="A227" s="17">
        <v>1</v>
      </c>
      <c r="B227" s="23" t="s">
        <v>155</v>
      </c>
      <c r="C227" s="41"/>
      <c r="D227" s="40"/>
      <c r="E227" s="18" t="str">
        <f t="shared" ref="E227:E242" si="58">IF(AND(C227=0,D227=0),"",IFERROR(IF(OR(D227=0,D227=""),-C227,D227-C227),""))</f>
        <v/>
      </c>
      <c r="F227" s="84" t="str">
        <f t="shared" ref="F227:F242" si="59">IF(AND(D227=0,C227=0),"",IFERROR(IF(C227=0, D227, D227/C227),""))</f>
        <v/>
      </c>
      <c r="G227" s="40"/>
      <c r="H227" s="40"/>
      <c r="I227" s="18" t="str">
        <f t="shared" ref="I227:I242" si="60">IF(AND(G227=0,H227=0),"",IFERROR(IF(OR(H227=0,H227=""),-G227,H227-G227),""))</f>
        <v/>
      </c>
      <c r="J227" s="84" t="str">
        <f t="shared" ref="J227:J242" si="61">IF(AND(H227=0,G227=0),"",IFERROR(IF(G227=0, H227, H227/G227),""))</f>
        <v/>
      </c>
    </row>
    <row r="228" spans="1:10" ht="24.95" customHeight="1">
      <c r="A228" s="17">
        <v>2</v>
      </c>
      <c r="B228" s="24" t="s">
        <v>156</v>
      </c>
      <c r="C228" s="40"/>
      <c r="D228" s="40"/>
      <c r="E228" s="18" t="str">
        <f t="shared" si="58"/>
        <v/>
      </c>
      <c r="F228" s="84" t="str">
        <f t="shared" si="59"/>
        <v/>
      </c>
      <c r="G228" s="40"/>
      <c r="H228" s="40"/>
      <c r="I228" s="18" t="str">
        <f t="shared" si="60"/>
        <v/>
      </c>
      <c r="J228" s="84" t="str">
        <f t="shared" si="61"/>
        <v/>
      </c>
    </row>
    <row r="229" spans="1:10" ht="24.95" customHeight="1">
      <c r="A229" s="17">
        <v>3</v>
      </c>
      <c r="B229" s="85" t="s">
        <v>273</v>
      </c>
      <c r="C229" s="40"/>
      <c r="D229" s="40"/>
      <c r="E229" s="18" t="str">
        <f t="shared" si="58"/>
        <v/>
      </c>
      <c r="F229" s="84" t="str">
        <f t="shared" si="59"/>
        <v/>
      </c>
      <c r="G229" s="40"/>
      <c r="H229" s="40"/>
      <c r="I229" s="18" t="str">
        <f t="shared" si="60"/>
        <v/>
      </c>
      <c r="J229" s="84" t="str">
        <f t="shared" si="61"/>
        <v/>
      </c>
    </row>
    <row r="230" spans="1:10" ht="24.95" customHeight="1">
      <c r="A230" s="17">
        <v>4</v>
      </c>
      <c r="B230" s="85" t="s">
        <v>274</v>
      </c>
      <c r="C230" s="40"/>
      <c r="D230" s="40"/>
      <c r="E230" s="18" t="str">
        <f t="shared" si="58"/>
        <v/>
      </c>
      <c r="F230" s="84" t="str">
        <f t="shared" si="59"/>
        <v/>
      </c>
      <c r="G230" s="40"/>
      <c r="H230" s="40"/>
      <c r="I230" s="18" t="str">
        <f t="shared" si="60"/>
        <v/>
      </c>
      <c r="J230" s="84" t="str">
        <f t="shared" si="61"/>
        <v/>
      </c>
    </row>
    <row r="231" spans="1:10" ht="24.95" customHeight="1">
      <c r="A231" s="17">
        <v>5</v>
      </c>
      <c r="B231" s="15" t="s">
        <v>158</v>
      </c>
      <c r="C231" s="40"/>
      <c r="D231" s="40"/>
      <c r="E231" s="18" t="str">
        <f t="shared" si="58"/>
        <v/>
      </c>
      <c r="F231" s="84" t="str">
        <f t="shared" si="59"/>
        <v/>
      </c>
      <c r="G231" s="40"/>
      <c r="H231" s="40"/>
      <c r="I231" s="18" t="str">
        <f t="shared" si="60"/>
        <v/>
      </c>
      <c r="J231" s="84" t="str">
        <f t="shared" si="61"/>
        <v/>
      </c>
    </row>
    <row r="232" spans="1:10" ht="24.95" customHeight="1">
      <c r="A232" s="17">
        <v>6</v>
      </c>
      <c r="B232" s="73" t="s">
        <v>159</v>
      </c>
      <c r="C232" s="40"/>
      <c r="D232" s="40"/>
      <c r="E232" s="18" t="str">
        <f t="shared" si="58"/>
        <v/>
      </c>
      <c r="F232" s="84" t="str">
        <f t="shared" si="59"/>
        <v/>
      </c>
      <c r="G232" s="40"/>
      <c r="H232" s="40"/>
      <c r="I232" s="18" t="str">
        <f t="shared" si="60"/>
        <v/>
      </c>
      <c r="J232" s="84" t="str">
        <f t="shared" si="61"/>
        <v/>
      </c>
    </row>
    <row r="233" spans="1:10" ht="24.95" customHeight="1">
      <c r="A233" s="112">
        <v>7</v>
      </c>
      <c r="B233" s="31" t="s">
        <v>160</v>
      </c>
      <c r="C233" s="40"/>
      <c r="D233" s="40"/>
      <c r="E233" s="18" t="str">
        <f t="shared" si="58"/>
        <v/>
      </c>
      <c r="F233" s="84" t="str">
        <f t="shared" si="59"/>
        <v/>
      </c>
      <c r="G233" s="40"/>
      <c r="H233" s="40"/>
      <c r="I233" s="18" t="str">
        <f t="shared" si="60"/>
        <v/>
      </c>
      <c r="J233" s="84" t="str">
        <f t="shared" si="61"/>
        <v/>
      </c>
    </row>
    <row r="234" spans="1:10" ht="24.95" customHeight="1">
      <c r="A234" s="112">
        <v>8</v>
      </c>
      <c r="B234" s="31" t="s">
        <v>161</v>
      </c>
      <c r="C234" s="40"/>
      <c r="D234" s="40"/>
      <c r="E234" s="18" t="str">
        <f t="shared" si="58"/>
        <v/>
      </c>
      <c r="F234" s="84" t="str">
        <f t="shared" si="59"/>
        <v/>
      </c>
      <c r="G234" s="40"/>
      <c r="H234" s="40"/>
      <c r="I234" s="18" t="str">
        <f t="shared" si="60"/>
        <v/>
      </c>
      <c r="J234" s="84" t="str">
        <f t="shared" si="61"/>
        <v/>
      </c>
    </row>
    <row r="235" spans="1:10" ht="24.95" customHeight="1">
      <c r="A235" s="17">
        <v>9</v>
      </c>
      <c r="B235" s="39" t="s">
        <v>257</v>
      </c>
      <c r="C235" s="40"/>
      <c r="D235" s="40"/>
      <c r="E235" s="18" t="str">
        <f t="shared" si="58"/>
        <v/>
      </c>
      <c r="F235" s="84" t="str">
        <f t="shared" si="59"/>
        <v/>
      </c>
      <c r="G235" s="40"/>
      <c r="H235" s="40"/>
      <c r="I235" s="18" t="str">
        <f t="shared" si="60"/>
        <v/>
      </c>
      <c r="J235" s="84" t="str">
        <f t="shared" si="61"/>
        <v/>
      </c>
    </row>
    <row r="236" spans="1:10" ht="24.95" customHeight="1">
      <c r="A236" s="17">
        <v>10</v>
      </c>
      <c r="B236" s="24" t="s">
        <v>156</v>
      </c>
      <c r="C236" s="40"/>
      <c r="D236" s="40"/>
      <c r="E236" s="18" t="str">
        <f t="shared" si="58"/>
        <v/>
      </c>
      <c r="F236" s="84" t="str">
        <f t="shared" si="59"/>
        <v/>
      </c>
      <c r="G236" s="40"/>
      <c r="H236" s="40"/>
      <c r="I236" s="18" t="str">
        <f t="shared" si="60"/>
        <v/>
      </c>
      <c r="J236" s="84" t="str">
        <f t="shared" si="61"/>
        <v/>
      </c>
    </row>
    <row r="237" spans="1:10" ht="24.95" customHeight="1">
      <c r="A237" s="17">
        <v>11</v>
      </c>
      <c r="B237" s="24" t="s">
        <v>273</v>
      </c>
      <c r="C237" s="40"/>
      <c r="D237" s="40"/>
      <c r="E237" s="18" t="str">
        <f t="shared" si="58"/>
        <v/>
      </c>
      <c r="F237" s="84" t="str">
        <f t="shared" si="59"/>
        <v/>
      </c>
      <c r="G237" s="40"/>
      <c r="H237" s="40"/>
      <c r="I237" s="18" t="str">
        <f t="shared" si="60"/>
        <v/>
      </c>
      <c r="J237" s="84" t="str">
        <f t="shared" si="61"/>
        <v/>
      </c>
    </row>
    <row r="238" spans="1:10" ht="24.95" customHeight="1">
      <c r="A238" s="17">
        <v>12</v>
      </c>
      <c r="B238" s="24" t="s">
        <v>274</v>
      </c>
      <c r="C238" s="40"/>
      <c r="D238" s="40"/>
      <c r="E238" s="18" t="str">
        <f t="shared" si="58"/>
        <v/>
      </c>
      <c r="F238" s="84" t="str">
        <f t="shared" si="59"/>
        <v/>
      </c>
      <c r="G238" s="40"/>
      <c r="H238" s="40"/>
      <c r="I238" s="18" t="str">
        <f t="shared" si="60"/>
        <v/>
      </c>
      <c r="J238" s="84" t="str">
        <f t="shared" si="61"/>
        <v/>
      </c>
    </row>
    <row r="239" spans="1:10" ht="24.95" customHeight="1">
      <c r="A239" s="17">
        <v>13</v>
      </c>
      <c r="B239" s="24" t="s">
        <v>158</v>
      </c>
      <c r="C239" s="40"/>
      <c r="D239" s="40"/>
      <c r="E239" s="18" t="str">
        <f t="shared" si="58"/>
        <v/>
      </c>
      <c r="F239" s="84" t="str">
        <f t="shared" si="59"/>
        <v/>
      </c>
      <c r="G239" s="40"/>
      <c r="H239" s="40"/>
      <c r="I239" s="18" t="str">
        <f t="shared" si="60"/>
        <v/>
      </c>
      <c r="J239" s="84" t="str">
        <f t="shared" si="61"/>
        <v/>
      </c>
    </row>
    <row r="240" spans="1:10" ht="24.95" customHeight="1">
      <c r="A240" s="17">
        <v>14</v>
      </c>
      <c r="B240" s="38" t="s">
        <v>159</v>
      </c>
      <c r="C240" s="40"/>
      <c r="D240" s="40"/>
      <c r="E240" s="18" t="str">
        <f t="shared" si="58"/>
        <v/>
      </c>
      <c r="F240" s="84" t="str">
        <f t="shared" si="59"/>
        <v/>
      </c>
      <c r="G240" s="40"/>
      <c r="H240" s="40"/>
      <c r="I240" s="18" t="str">
        <f t="shared" si="60"/>
        <v/>
      </c>
      <c r="J240" s="84" t="str">
        <f t="shared" si="61"/>
        <v/>
      </c>
    </row>
    <row r="241" spans="1:10" ht="24.95" customHeight="1">
      <c r="A241" s="112">
        <v>15</v>
      </c>
      <c r="B241" s="31" t="s">
        <v>160</v>
      </c>
      <c r="C241" s="40"/>
      <c r="D241" s="40"/>
      <c r="E241" s="18" t="str">
        <f t="shared" si="58"/>
        <v/>
      </c>
      <c r="F241" s="84" t="str">
        <f t="shared" si="59"/>
        <v/>
      </c>
      <c r="G241" s="40"/>
      <c r="H241" s="40"/>
      <c r="I241" s="18" t="str">
        <f t="shared" si="60"/>
        <v/>
      </c>
      <c r="J241" s="84" t="str">
        <f t="shared" si="61"/>
        <v/>
      </c>
    </row>
    <row r="242" spans="1:10" ht="24.95" customHeight="1">
      <c r="A242" s="17">
        <v>16</v>
      </c>
      <c r="B242" s="15" t="s">
        <v>161</v>
      </c>
      <c r="C242" s="40"/>
      <c r="D242" s="40"/>
      <c r="E242" s="18" t="str">
        <f t="shared" si="58"/>
        <v/>
      </c>
      <c r="F242" s="84" t="str">
        <f t="shared" si="59"/>
        <v/>
      </c>
      <c r="G242" s="40"/>
      <c r="H242" s="40"/>
      <c r="I242" s="18" t="str">
        <f t="shared" si="60"/>
        <v/>
      </c>
      <c r="J242" s="84" t="str">
        <f t="shared" si="61"/>
        <v/>
      </c>
    </row>
  </sheetData>
  <sheetProtection algorithmName="SHA-512" hashValue="XlmJ+UlcJe9wgzvQBlAj5odnFCN8QdIzoX7CukCReBS3nNj3yz0udd6AN06cst9t/Gw6Qcrvx9jjMQrCvGkvDA==" saltValue="aPoYEsgT1K1TafJqPvRw7A==" spinCount="100000" sheet="1" objects="1" scenarios="1"/>
  <mergeCells count="45">
    <mergeCell ref="C48:D48"/>
    <mergeCell ref="C26:D26"/>
    <mergeCell ref="I4:J4"/>
    <mergeCell ref="E92:F92"/>
    <mergeCell ref="E26:F26"/>
    <mergeCell ref="I26:J26"/>
    <mergeCell ref="E48:F48"/>
    <mergeCell ref="I48:J48"/>
    <mergeCell ref="A134:J135"/>
    <mergeCell ref="I70:J70"/>
    <mergeCell ref="C158:D158"/>
    <mergeCell ref="E158:F158"/>
    <mergeCell ref="I158:J158"/>
    <mergeCell ref="C70:D70"/>
    <mergeCell ref="E70:F70"/>
    <mergeCell ref="A156:J157"/>
    <mergeCell ref="C92:D92"/>
    <mergeCell ref="A1:I3"/>
    <mergeCell ref="J2:J3"/>
    <mergeCell ref="E136:F136"/>
    <mergeCell ref="I136:J136"/>
    <mergeCell ref="C4:D4"/>
    <mergeCell ref="E4:F4"/>
    <mergeCell ref="I92:J92"/>
    <mergeCell ref="C114:D114"/>
    <mergeCell ref="E114:F114"/>
    <mergeCell ref="I114:J114"/>
    <mergeCell ref="C136:D136"/>
    <mergeCell ref="A24:J25"/>
    <mergeCell ref="A46:J47"/>
    <mergeCell ref="A68:J69"/>
    <mergeCell ref="A90:J91"/>
    <mergeCell ref="A112:J113"/>
    <mergeCell ref="A178:J179"/>
    <mergeCell ref="C180:D180"/>
    <mergeCell ref="E180:F180"/>
    <mergeCell ref="I180:J180"/>
    <mergeCell ref="A200:J201"/>
    <mergeCell ref="C202:D202"/>
    <mergeCell ref="E202:F202"/>
    <mergeCell ref="I202:J202"/>
    <mergeCell ref="A222:J223"/>
    <mergeCell ref="C224:D224"/>
    <mergeCell ref="E224:F224"/>
    <mergeCell ref="I224:J224"/>
  </mergeCells>
  <pageMargins left="0.23622047244094491" right="0.23622047244094491" top="0.74803149606299213" bottom="0.74803149606299213" header="0.31496062992125984" footer="0.31496062992125984"/>
  <pageSetup paperSize="9" scale="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2FEB1-0B1D-45EF-A3FE-04A2F66C5D3B}">
  <sheetPr>
    <pageSetUpPr fitToPage="1"/>
  </sheetPr>
  <dimension ref="A1:M36"/>
  <sheetViews>
    <sheetView topLeftCell="C1" zoomScale="85" zoomScaleNormal="85" workbookViewId="0">
      <selection activeCell="I7" sqref="I7:J16"/>
    </sheetView>
  </sheetViews>
  <sheetFormatPr defaultRowHeight="14.25"/>
  <cols>
    <col min="1" max="1" width="3.7109375" style="8" customWidth="1"/>
    <col min="2" max="2" width="32.7109375" style="1" customWidth="1"/>
    <col min="3" max="10" width="15.7109375" style="1" customWidth="1"/>
    <col min="11" max="11" width="7.140625" style="1" customWidth="1"/>
    <col min="12" max="12" width="10" style="1" customWidth="1"/>
    <col min="13" max="13" width="12.85546875" style="1" customWidth="1"/>
    <col min="14" max="46" width="7.140625" style="1" customWidth="1"/>
    <col min="47" max="16384" width="9.140625" style="1"/>
  </cols>
  <sheetData>
    <row r="1" spans="1:13" ht="15">
      <c r="A1" s="140" t="s">
        <v>261</v>
      </c>
      <c r="B1" s="140"/>
      <c r="C1" s="140"/>
      <c r="D1" s="140"/>
      <c r="E1" s="140"/>
      <c r="F1" s="140"/>
      <c r="G1" s="140"/>
      <c r="H1" s="140"/>
      <c r="I1" s="140"/>
      <c r="J1" s="72" t="s">
        <v>14</v>
      </c>
    </row>
    <row r="2" spans="1:13" ht="15" customHeight="1">
      <c r="A2" s="140"/>
      <c r="B2" s="140"/>
      <c r="C2" s="140"/>
      <c r="D2" s="140"/>
      <c r="E2" s="140"/>
      <c r="F2" s="140"/>
      <c r="G2" s="140"/>
      <c r="H2" s="140"/>
      <c r="I2" s="140"/>
      <c r="J2" s="145" t="s">
        <v>301</v>
      </c>
    </row>
    <row r="3" spans="1:13" ht="14.25" customHeight="1">
      <c r="A3" s="139"/>
      <c r="B3" s="139"/>
      <c r="C3" s="139"/>
      <c r="D3" s="139"/>
      <c r="E3" s="139"/>
      <c r="F3" s="139"/>
      <c r="G3" s="139"/>
      <c r="H3" s="139"/>
      <c r="I3" s="139"/>
      <c r="J3" s="146"/>
      <c r="K3" s="6"/>
      <c r="L3" s="6"/>
      <c r="M3" s="6"/>
    </row>
    <row r="4" spans="1:13" ht="50.1" customHeight="1">
      <c r="A4" s="18"/>
      <c r="B4" s="45" t="s">
        <v>0</v>
      </c>
      <c r="C4" s="45" t="str">
        <f>"Факт " &amp; J2 &amp; "               2023 г"</f>
        <v>Факт Сентябрь               2023 г</v>
      </c>
      <c r="D4" s="45" t="str">
        <f xml:space="preserve"> "Факт " &amp; J2 &amp; "                 2024 г"</f>
        <v>Факт Сентябрь                 2024 г</v>
      </c>
      <c r="E4" s="144" t="s">
        <v>252</v>
      </c>
      <c r="F4" s="144"/>
      <c r="G4" s="45" t="str">
        <f xml:space="preserve"> "Факт Январь -" &amp; J2 &amp; " 2023 г"</f>
        <v>Факт Январь -Сентябрь 2023 г</v>
      </c>
      <c r="H4" s="45" t="str">
        <f xml:space="preserve"> "Факт Январь -" &amp; J2 &amp; " 2024 г"</f>
        <v>Факт Январь -Сентябрь 2024 г</v>
      </c>
      <c r="I4" s="144" t="s">
        <v>252</v>
      </c>
      <c r="J4" s="144"/>
    </row>
    <row r="5" spans="1:13" ht="20.25" customHeight="1">
      <c r="A5" s="18"/>
      <c r="B5" s="12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3" ht="15" customHeight="1">
      <c r="A6" s="18" t="s">
        <v>1</v>
      </c>
      <c r="B6" s="12" t="s">
        <v>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3" ht="24.95" customHeight="1">
      <c r="A7" s="18">
        <v>1</v>
      </c>
      <c r="B7" s="29" t="s">
        <v>5</v>
      </c>
      <c r="C7" s="83">
        <v>126</v>
      </c>
      <c r="D7" s="83">
        <v>85</v>
      </c>
      <c r="E7" s="18">
        <f t="shared" ref="E7" si="0">IF(AND(C7=0,D7=0),"",IFERROR(IF(OR(D7=0,D7=""),-C7,D7-C7),""))</f>
        <v>-41</v>
      </c>
      <c r="F7" s="84">
        <f t="shared" ref="F7" si="1">IF(AND(D7=0,C7=0),"",IFERROR(IF(C7=0, D7, D7/C7),""))</f>
        <v>0.67460317460317465</v>
      </c>
      <c r="G7" s="83">
        <v>2843</v>
      </c>
      <c r="H7" s="83">
        <v>2919</v>
      </c>
      <c r="I7" s="18">
        <f t="shared" ref="I7:I16" si="2">IF(AND(G7=0,H7=0),"",IFERROR(IF(OR(H7=0,H7=""),-G7,H7-G7),""))</f>
        <v>76</v>
      </c>
      <c r="J7" s="84">
        <f t="shared" ref="J7:J16" si="3">IF(AND(H7=0,G7=0),"",IFERROR(IF(G7=0, H7, H7/G7),""))</f>
        <v>1.0267323250087936</v>
      </c>
    </row>
    <row r="8" spans="1:13" ht="24.95" customHeight="1">
      <c r="A8" s="18">
        <v>2</v>
      </c>
      <c r="B8" s="29" t="s">
        <v>6</v>
      </c>
      <c r="C8" s="83"/>
      <c r="D8" s="14"/>
      <c r="E8" s="18" t="str">
        <f t="shared" ref="E8:E16" si="4">IF(AND(C8=0,D8=0),"",IFERROR(IF(OR(D8=0,D8=""),-C8,D8-C8),""))</f>
        <v/>
      </c>
      <c r="F8" s="84" t="str">
        <f t="shared" ref="F8:F16" si="5">IF(AND(D8=0,C8=0),"",IFERROR(IF(C8=0, D8, D8/C8),""))</f>
        <v/>
      </c>
      <c r="G8" s="83">
        <v>2275</v>
      </c>
      <c r="H8" s="83">
        <v>2431</v>
      </c>
      <c r="I8" s="18">
        <f t="shared" si="2"/>
        <v>156</v>
      </c>
      <c r="J8" s="84">
        <f t="shared" si="3"/>
        <v>1.0685714285714285</v>
      </c>
    </row>
    <row r="9" spans="1:13" ht="24.95" customHeight="1">
      <c r="A9" s="18">
        <v>3</v>
      </c>
      <c r="B9" s="15" t="s">
        <v>293</v>
      </c>
      <c r="C9" s="83">
        <v>94</v>
      </c>
      <c r="D9" s="14">
        <v>66</v>
      </c>
      <c r="E9" s="18">
        <f t="shared" si="4"/>
        <v>-28</v>
      </c>
      <c r="F9" s="84">
        <f t="shared" si="5"/>
        <v>0.7021276595744681</v>
      </c>
      <c r="G9" s="83">
        <v>2459</v>
      </c>
      <c r="H9" s="83">
        <v>2349</v>
      </c>
      <c r="I9" s="18">
        <f t="shared" si="2"/>
        <v>-110</v>
      </c>
      <c r="J9" s="84">
        <f t="shared" si="3"/>
        <v>0.95526636844245627</v>
      </c>
    </row>
    <row r="10" spans="1:13" ht="24.95" customHeight="1">
      <c r="A10" s="18">
        <v>4</v>
      </c>
      <c r="B10" s="15" t="s">
        <v>294</v>
      </c>
      <c r="C10" s="83">
        <v>38</v>
      </c>
      <c r="D10" s="14">
        <v>19</v>
      </c>
      <c r="E10" s="18">
        <f t="shared" si="4"/>
        <v>-19</v>
      </c>
      <c r="F10" s="84">
        <f t="shared" si="5"/>
        <v>0.5</v>
      </c>
      <c r="G10" s="83">
        <v>568</v>
      </c>
      <c r="H10" s="83">
        <v>488</v>
      </c>
      <c r="I10" s="18">
        <f t="shared" si="2"/>
        <v>-80</v>
      </c>
      <c r="J10" s="84">
        <f t="shared" si="3"/>
        <v>0.85915492957746475</v>
      </c>
    </row>
    <row r="11" spans="1:13" ht="24.95" customHeight="1">
      <c r="A11" s="18">
        <v>5</v>
      </c>
      <c r="B11" s="29" t="s">
        <v>7</v>
      </c>
      <c r="C11" s="83">
        <v>307</v>
      </c>
      <c r="D11" s="14">
        <v>164</v>
      </c>
      <c r="E11" s="18">
        <f t="shared" si="4"/>
        <v>-143</v>
      </c>
      <c r="F11" s="84">
        <f t="shared" si="5"/>
        <v>0.53420195439739415</v>
      </c>
      <c r="G11" s="83">
        <v>2675</v>
      </c>
      <c r="H11" s="83">
        <v>2158</v>
      </c>
      <c r="I11" s="18">
        <f t="shared" si="2"/>
        <v>-517</v>
      </c>
      <c r="J11" s="84">
        <f t="shared" si="3"/>
        <v>0.80672897196261684</v>
      </c>
    </row>
    <row r="12" spans="1:13" ht="24.95" customHeight="1">
      <c r="A12" s="18">
        <v>6</v>
      </c>
      <c r="B12" s="29" t="s">
        <v>8</v>
      </c>
      <c r="C12" s="83">
        <v>174</v>
      </c>
      <c r="D12" s="14">
        <v>92</v>
      </c>
      <c r="E12" s="18">
        <f t="shared" si="4"/>
        <v>-82</v>
      </c>
      <c r="F12" s="84">
        <f t="shared" si="5"/>
        <v>0.52873563218390807</v>
      </c>
      <c r="G12" s="83">
        <v>1297</v>
      </c>
      <c r="H12" s="83">
        <v>1190</v>
      </c>
      <c r="I12" s="18">
        <f t="shared" si="2"/>
        <v>-107</v>
      </c>
      <c r="J12" s="84">
        <f t="shared" si="3"/>
        <v>0.91750192752505788</v>
      </c>
    </row>
    <row r="13" spans="1:13" ht="24.95" customHeight="1">
      <c r="A13" s="18">
        <v>7</v>
      </c>
      <c r="B13" s="29" t="s">
        <v>9</v>
      </c>
      <c r="C13" s="83">
        <v>151</v>
      </c>
      <c r="D13" s="14">
        <v>91</v>
      </c>
      <c r="E13" s="18">
        <f t="shared" si="4"/>
        <v>-60</v>
      </c>
      <c r="F13" s="84">
        <f t="shared" si="5"/>
        <v>0.60264900662251653</v>
      </c>
      <c r="G13" s="83">
        <v>1193</v>
      </c>
      <c r="H13" s="83">
        <v>1231</v>
      </c>
      <c r="I13" s="18">
        <f t="shared" si="2"/>
        <v>38</v>
      </c>
      <c r="J13" s="84">
        <f t="shared" si="3"/>
        <v>1.0318524727577536</v>
      </c>
    </row>
    <row r="14" spans="1:13" ht="24.95" customHeight="1">
      <c r="A14" s="18">
        <v>8</v>
      </c>
      <c r="B14" s="29" t="s">
        <v>10</v>
      </c>
      <c r="C14" s="83">
        <v>5170</v>
      </c>
      <c r="D14" s="14">
        <v>4210</v>
      </c>
      <c r="E14" s="18">
        <f t="shared" si="4"/>
        <v>-960</v>
      </c>
      <c r="F14" s="84">
        <f t="shared" si="5"/>
        <v>0.81431334622823981</v>
      </c>
      <c r="G14" s="83">
        <v>44498</v>
      </c>
      <c r="H14" s="83">
        <v>66158</v>
      </c>
      <c r="I14" s="18">
        <f t="shared" si="2"/>
        <v>21660</v>
      </c>
      <c r="J14" s="84">
        <f t="shared" si="3"/>
        <v>1.4867634500426985</v>
      </c>
    </row>
    <row r="15" spans="1:13" ht="24.95" customHeight="1">
      <c r="A15" s="18">
        <v>9</v>
      </c>
      <c r="B15" s="15" t="s">
        <v>295</v>
      </c>
      <c r="C15" s="83">
        <v>5170</v>
      </c>
      <c r="D15" s="14">
        <v>4210</v>
      </c>
      <c r="E15" s="18">
        <f t="shared" si="4"/>
        <v>-960</v>
      </c>
      <c r="F15" s="84">
        <f t="shared" si="5"/>
        <v>0.81431334622823981</v>
      </c>
      <c r="G15" s="83">
        <v>44498</v>
      </c>
      <c r="H15" s="83">
        <v>66158</v>
      </c>
      <c r="I15" s="18">
        <f t="shared" si="2"/>
        <v>21660</v>
      </c>
      <c r="J15" s="84">
        <f t="shared" si="3"/>
        <v>1.4867634500426985</v>
      </c>
    </row>
    <row r="16" spans="1:13" ht="24.95" customHeight="1">
      <c r="A16" s="18">
        <v>10</v>
      </c>
      <c r="B16" s="15" t="s">
        <v>296</v>
      </c>
      <c r="C16" s="83">
        <v>2729</v>
      </c>
      <c r="D16" s="14">
        <v>3364</v>
      </c>
      <c r="E16" s="18">
        <f t="shared" si="4"/>
        <v>635</v>
      </c>
      <c r="F16" s="84">
        <f t="shared" si="5"/>
        <v>1.2326859655551483</v>
      </c>
      <c r="G16" s="83">
        <v>30505.5</v>
      </c>
      <c r="H16" s="83">
        <v>42048.5</v>
      </c>
      <c r="I16" s="18">
        <f t="shared" si="2"/>
        <v>11543</v>
      </c>
      <c r="J16" s="84">
        <f t="shared" si="3"/>
        <v>1.3783907819901329</v>
      </c>
    </row>
    <row r="17" ht="20.100000000000001" customHeight="1"/>
    <row r="21" ht="14.25" customHeight="1"/>
    <row r="22" ht="14.25" customHeight="1"/>
    <row r="23" ht="65.099999999999994" customHeight="1"/>
    <row r="24" ht="65.099999999999994" customHeight="1"/>
    <row r="25" ht="15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/>
    <row r="32" ht="23.1" customHeight="1"/>
    <row r="33" ht="23.1" customHeight="1"/>
    <row r="34" ht="23.1" customHeight="1"/>
    <row r="35" ht="23.1" customHeight="1"/>
    <row r="36" ht="23.1" customHeight="1"/>
  </sheetData>
  <sheetProtection algorithmName="SHA-512" hashValue="D5ZZVyjIXELncOZSu2rwrgCy1UI53jvCPxjL7k9Z6iHIv5kl/Qgjxwj8p27DiUzFtqg68G9fGZOv3Vji+J/1xw==" saltValue="CC1ov7M+0dPHHJwOQF2FZw==" spinCount="100000" sheet="1" objects="1" scenarios="1"/>
  <mergeCells count="4">
    <mergeCell ref="E4:F4"/>
    <mergeCell ref="I4:J4"/>
    <mergeCell ref="A1:I3"/>
    <mergeCell ref="J2:J3"/>
  </mergeCells>
  <pageMargins left="0.25" right="0.25" top="0.75" bottom="0.75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D4A0A-B9E2-4622-A6E3-8D9A9A1C6A2F}">
  <sheetPr>
    <pageSetUpPr fitToPage="1"/>
  </sheetPr>
  <dimension ref="A1:N17"/>
  <sheetViews>
    <sheetView topLeftCell="B1" zoomScale="70" zoomScaleNormal="70" workbookViewId="0">
      <selection activeCell="E16" sqref="E16:F17"/>
    </sheetView>
  </sheetViews>
  <sheetFormatPr defaultRowHeight="15"/>
  <cols>
    <col min="1" max="1" width="3.7109375" customWidth="1"/>
    <col min="2" max="2" width="41.85546875" customWidth="1"/>
    <col min="3" max="10" width="15.7109375" customWidth="1"/>
    <col min="14" max="14" width="14.7109375" customWidth="1"/>
  </cols>
  <sheetData>
    <row r="1" spans="1:14">
      <c r="A1" s="140" t="s">
        <v>259</v>
      </c>
      <c r="B1" s="140"/>
      <c r="C1" s="140"/>
      <c r="D1" s="140"/>
      <c r="E1" s="140"/>
      <c r="F1" s="140"/>
      <c r="G1" s="140"/>
      <c r="H1" s="140"/>
      <c r="I1" s="140"/>
      <c r="J1" s="68" t="s">
        <v>14</v>
      </c>
    </row>
    <row r="2" spans="1:14">
      <c r="A2" s="140"/>
      <c r="B2" s="140"/>
      <c r="C2" s="140"/>
      <c r="D2" s="140"/>
      <c r="E2" s="140"/>
      <c r="F2" s="140"/>
      <c r="G2" s="140"/>
      <c r="H2" s="140"/>
      <c r="I2" s="140"/>
      <c r="J2" s="145" t="s">
        <v>301</v>
      </c>
    </row>
    <row r="3" spans="1:14">
      <c r="A3" s="139"/>
      <c r="B3" s="139"/>
      <c r="C3" s="139"/>
      <c r="D3" s="139"/>
      <c r="E3" s="139"/>
      <c r="F3" s="139"/>
      <c r="G3" s="139"/>
      <c r="H3" s="139"/>
      <c r="I3" s="139"/>
      <c r="J3" s="146"/>
      <c r="M3" s="6"/>
      <c r="N3" s="1"/>
    </row>
    <row r="4" spans="1:14" ht="50.1" customHeight="1">
      <c r="A4" s="2"/>
      <c r="B4" s="16" t="s">
        <v>0</v>
      </c>
      <c r="C4" s="16" t="str">
        <f>"Факт " &amp; J2 &amp; "         2023 г"</f>
        <v>Факт Сентябрь         2023 г</v>
      </c>
      <c r="D4" s="16" t="str">
        <f xml:space="preserve"> "Факт " &amp; J2 &amp; "           2024 г"</f>
        <v>Факт Сентябрь           2024 г</v>
      </c>
      <c r="E4" s="147" t="s">
        <v>252</v>
      </c>
      <c r="F4" s="148"/>
      <c r="G4" s="16" t="str">
        <f xml:space="preserve"> "Факт Январь -" &amp; J2 &amp; " 2023 г"</f>
        <v>Факт Январь -Сентябрь 2023 г</v>
      </c>
      <c r="H4" s="16" t="str">
        <f xml:space="preserve"> "Факт Январь -" &amp; J2 &amp; " 2024 г"</f>
        <v>Факт Январь -Сентябрь 2024 г</v>
      </c>
      <c r="I4" s="147" t="s">
        <v>252</v>
      </c>
      <c r="J4" s="148"/>
      <c r="M4" s="8"/>
    </row>
    <row r="5" spans="1:14" ht="15" customHeight="1">
      <c r="A5" s="2"/>
      <c r="B5" s="3"/>
      <c r="C5" s="62"/>
      <c r="D5" s="62"/>
      <c r="E5" s="9" t="s">
        <v>3</v>
      </c>
      <c r="F5" s="4" t="s">
        <v>4</v>
      </c>
      <c r="G5" s="5"/>
      <c r="H5" s="5"/>
      <c r="I5" s="9" t="s">
        <v>3</v>
      </c>
      <c r="J5" s="4" t="s">
        <v>4</v>
      </c>
      <c r="M5" s="8"/>
      <c r="N5" s="7"/>
    </row>
    <row r="6" spans="1:14" ht="15" customHeight="1">
      <c r="A6" s="19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4" ht="24.95" customHeight="1">
      <c r="A7" s="19">
        <v>1</v>
      </c>
      <c r="B7" s="13" t="s">
        <v>13</v>
      </c>
      <c r="C7" s="14"/>
      <c r="D7" s="14">
        <v>94</v>
      </c>
      <c r="E7" s="18">
        <f t="shared" ref="E7:E16" si="0">IF(AND(C7=0,D7=0),"",IFERROR(IF(OR(D7=0,D7=""),-C7,D7-C7),""))</f>
        <v>94</v>
      </c>
      <c r="F7" s="84">
        <f t="shared" ref="F7:F16" si="1">IF(AND(D7=0,C7=0),"",IFERROR(IF(C7=0, D7, D7/C7),""))</f>
        <v>94</v>
      </c>
      <c r="G7" s="14">
        <v>663</v>
      </c>
      <c r="H7" s="14">
        <v>680</v>
      </c>
      <c r="I7" s="18">
        <f t="shared" ref="I7:I16" si="2">IF(AND(G7=0,H7=0),"",IFERROR(IF(OR(H7=0,H7=""),-G7,H7-G7),""))</f>
        <v>17</v>
      </c>
      <c r="J7" s="84">
        <f t="shared" ref="J7:J16" si="3">IF(AND(H7=0,G7=0),"",IFERROR(IF(G7=0, H7, H7/G7),""))</f>
        <v>1.0256410256410255</v>
      </c>
    </row>
    <row r="8" spans="1:14" ht="24.95" customHeight="1">
      <c r="A8" s="19">
        <v>2</v>
      </c>
      <c r="B8" s="13" t="s">
        <v>299</v>
      </c>
      <c r="C8" s="14"/>
      <c r="D8" s="14"/>
      <c r="E8" s="18" t="str">
        <f t="shared" si="0"/>
        <v/>
      </c>
      <c r="F8" s="84" t="str">
        <f t="shared" si="1"/>
        <v/>
      </c>
      <c r="G8" s="14"/>
      <c r="H8" s="14"/>
      <c r="I8" s="18" t="str">
        <f t="shared" si="2"/>
        <v/>
      </c>
      <c r="J8" s="84" t="str">
        <f t="shared" si="3"/>
        <v/>
      </c>
    </row>
    <row r="9" spans="1:14" ht="24.95" customHeight="1">
      <c r="A9" s="19">
        <v>3</v>
      </c>
      <c r="B9" s="13" t="s">
        <v>169</v>
      </c>
      <c r="C9" s="14"/>
      <c r="D9" s="14"/>
      <c r="E9" s="18" t="str">
        <f t="shared" si="0"/>
        <v/>
      </c>
      <c r="F9" s="84" t="str">
        <f t="shared" si="1"/>
        <v/>
      </c>
      <c r="G9" s="14"/>
      <c r="H9" s="14"/>
      <c r="I9" s="18" t="str">
        <f t="shared" si="2"/>
        <v/>
      </c>
      <c r="J9" s="84" t="str">
        <f t="shared" si="3"/>
        <v/>
      </c>
    </row>
    <row r="10" spans="1:14" ht="24.95" customHeight="1">
      <c r="A10" s="19">
        <v>4</v>
      </c>
      <c r="B10" s="29" t="s">
        <v>135</v>
      </c>
      <c r="C10" s="14"/>
      <c r="D10" s="14">
        <v>73</v>
      </c>
      <c r="E10" s="18">
        <f t="shared" si="0"/>
        <v>73</v>
      </c>
      <c r="F10" s="84">
        <f t="shared" si="1"/>
        <v>73</v>
      </c>
      <c r="G10" s="14">
        <v>507</v>
      </c>
      <c r="H10" s="14">
        <v>516</v>
      </c>
      <c r="I10" s="18">
        <f t="shared" si="2"/>
        <v>9</v>
      </c>
      <c r="J10" s="84">
        <f t="shared" si="3"/>
        <v>1.0177514792899409</v>
      </c>
    </row>
    <row r="11" spans="1:14" ht="24.95" customHeight="1">
      <c r="A11" s="19">
        <v>5</v>
      </c>
      <c r="B11" s="92" t="s">
        <v>136</v>
      </c>
      <c r="C11" s="14"/>
      <c r="D11" s="14"/>
      <c r="E11" s="18" t="str">
        <f t="shared" si="0"/>
        <v/>
      </c>
      <c r="F11" s="84" t="str">
        <f t="shared" si="1"/>
        <v/>
      </c>
      <c r="G11" s="14"/>
      <c r="H11" s="14"/>
      <c r="I11" s="18" t="str">
        <f t="shared" si="2"/>
        <v/>
      </c>
      <c r="J11" s="84" t="str">
        <f t="shared" si="3"/>
        <v/>
      </c>
    </row>
    <row r="12" spans="1:14" ht="24.95" customHeight="1">
      <c r="A12" s="19">
        <v>6</v>
      </c>
      <c r="B12" s="11" t="s">
        <v>298</v>
      </c>
      <c r="C12" s="14"/>
      <c r="D12" s="14">
        <v>18</v>
      </c>
      <c r="E12" s="18">
        <f t="shared" si="0"/>
        <v>18</v>
      </c>
      <c r="F12" s="84">
        <f t="shared" si="1"/>
        <v>18</v>
      </c>
      <c r="G12" s="14">
        <v>100</v>
      </c>
      <c r="H12" s="14">
        <v>106</v>
      </c>
      <c r="I12" s="18">
        <f t="shared" si="2"/>
        <v>6</v>
      </c>
      <c r="J12" s="84">
        <f t="shared" si="3"/>
        <v>1.06</v>
      </c>
    </row>
    <row r="13" spans="1:14" ht="24.95" customHeight="1">
      <c r="A13" s="19">
        <v>7</v>
      </c>
      <c r="B13" s="92" t="s">
        <v>137</v>
      </c>
      <c r="C13" s="14"/>
      <c r="D13" s="14"/>
      <c r="E13" s="18" t="str">
        <f t="shared" si="0"/>
        <v/>
      </c>
      <c r="F13" s="84" t="str">
        <f t="shared" si="1"/>
        <v/>
      </c>
      <c r="G13" s="14"/>
      <c r="H13" s="14"/>
      <c r="I13" s="18" t="str">
        <f t="shared" si="2"/>
        <v/>
      </c>
      <c r="J13" s="84" t="str">
        <f t="shared" si="3"/>
        <v/>
      </c>
    </row>
    <row r="14" spans="1:14" ht="24.95" customHeight="1">
      <c r="A14" s="19">
        <v>8</v>
      </c>
      <c r="B14" s="11" t="s">
        <v>53</v>
      </c>
      <c r="C14" s="14"/>
      <c r="D14" s="14">
        <v>30</v>
      </c>
      <c r="E14" s="18">
        <f t="shared" si="0"/>
        <v>30</v>
      </c>
      <c r="F14" s="84">
        <f t="shared" si="1"/>
        <v>30</v>
      </c>
      <c r="G14" s="14">
        <v>332</v>
      </c>
      <c r="H14" s="14">
        <v>286</v>
      </c>
      <c r="I14" s="18">
        <f t="shared" si="2"/>
        <v>-46</v>
      </c>
      <c r="J14" s="84">
        <f t="shared" si="3"/>
        <v>0.86144578313253017</v>
      </c>
    </row>
    <row r="15" spans="1:14" ht="24.95" customHeight="1">
      <c r="A15" s="19">
        <v>9</v>
      </c>
      <c r="B15" s="92" t="s">
        <v>136</v>
      </c>
      <c r="C15" s="14"/>
      <c r="D15" s="14"/>
      <c r="E15" s="18" t="str">
        <f t="shared" si="0"/>
        <v/>
      </c>
      <c r="F15" s="84" t="str">
        <f t="shared" si="1"/>
        <v/>
      </c>
      <c r="G15" s="14"/>
      <c r="H15" s="14"/>
      <c r="I15" s="18" t="str">
        <f t="shared" si="2"/>
        <v/>
      </c>
      <c r="J15" s="84" t="str">
        <f t="shared" si="3"/>
        <v/>
      </c>
    </row>
    <row r="16" spans="1:14" ht="24.95" customHeight="1">
      <c r="A16" s="19">
        <v>10</v>
      </c>
      <c r="B16" s="11" t="s">
        <v>297</v>
      </c>
      <c r="C16" s="14"/>
      <c r="D16" s="14">
        <v>12</v>
      </c>
      <c r="E16" s="18">
        <f t="shared" si="0"/>
        <v>12</v>
      </c>
      <c r="F16" s="84">
        <f t="shared" si="1"/>
        <v>12</v>
      </c>
      <c r="G16" s="14">
        <v>156</v>
      </c>
      <c r="H16" s="14">
        <v>164</v>
      </c>
      <c r="I16" s="18">
        <f t="shared" si="2"/>
        <v>8</v>
      </c>
      <c r="J16" s="84">
        <f t="shared" si="3"/>
        <v>1.0512820512820513</v>
      </c>
    </row>
    <row r="17" spans="1:10" ht="24.95" customHeight="1">
      <c r="A17" s="19">
        <v>11</v>
      </c>
      <c r="B17" s="92" t="s">
        <v>136</v>
      </c>
      <c r="C17" s="14"/>
      <c r="D17" s="14"/>
      <c r="E17" s="18" t="str">
        <f t="shared" ref="E17" si="4">IF(AND(C17=0,D17=0),"",IFERROR(IF(OR(D17=0,D17=""),-C17,D17-C17),""))</f>
        <v/>
      </c>
      <c r="F17" s="84" t="str">
        <f t="shared" ref="F17" si="5">IF(AND(D17=0,C17=0),"",IFERROR(IF(C17=0, D17, D17/C17),""))</f>
        <v/>
      </c>
      <c r="G17" s="14"/>
      <c r="H17" s="14"/>
      <c r="I17" s="114" t="str">
        <f t="shared" ref="I17" si="6">IF(H17-G17=0, "",H17-G17)</f>
        <v/>
      </c>
      <c r="J17" s="135" t="str">
        <f t="shared" ref="J17" si="7">IFERROR( H17/G17, "")</f>
        <v/>
      </c>
    </row>
  </sheetData>
  <sheetProtection algorithmName="SHA-512" hashValue="OuFTb1UsytCjMM/zBs+VgaSBDGRP2RX2dSwJC5/kAPIaXy4bd4jDpjkJUJsQ3akxDbLbYyQ9lhRcf4mhpnZFjA==" saltValue="ZWqYVU4Fizk822gEWeAfbA==" spinCount="100000" sheet="1" objects="1" scenarios="1"/>
  <mergeCells count="4">
    <mergeCell ref="E4:F4"/>
    <mergeCell ref="I4:J4"/>
    <mergeCell ref="A1:I3"/>
    <mergeCell ref="J2:J3"/>
  </mergeCells>
  <phoneticPr fontId="4" type="noConversion"/>
  <pageMargins left="0.25" right="0.25" top="0.75" bottom="0.75" header="0.3" footer="0.3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8F861-9593-457E-B4CA-55E7AAD7C409}">
  <sheetPr>
    <pageSetUpPr fitToPage="1"/>
  </sheetPr>
  <dimension ref="A1:U21"/>
  <sheetViews>
    <sheetView zoomScale="85" zoomScaleNormal="85" workbookViewId="0">
      <selection activeCell="H7" sqref="H7"/>
    </sheetView>
  </sheetViews>
  <sheetFormatPr defaultRowHeight="15"/>
  <cols>
    <col min="1" max="1" width="3.7109375" customWidth="1"/>
    <col min="2" max="2" width="47.7109375" customWidth="1"/>
    <col min="3" max="10" width="15.7109375" customWidth="1"/>
    <col min="11" max="21" width="8.7109375" customWidth="1"/>
  </cols>
  <sheetData>
    <row r="1" spans="1:21" ht="15" customHeight="1">
      <c r="A1" s="140" t="s">
        <v>258</v>
      </c>
      <c r="B1" s="140"/>
      <c r="C1" s="140"/>
      <c r="D1" s="140"/>
      <c r="E1" s="140"/>
      <c r="F1" s="140"/>
      <c r="G1" s="140"/>
      <c r="H1" s="140"/>
      <c r="I1" s="140"/>
      <c r="J1" s="109" t="s">
        <v>14</v>
      </c>
      <c r="K1" s="6"/>
      <c r="L1" s="6"/>
      <c r="M1" s="6"/>
      <c r="N1" s="6"/>
      <c r="O1" s="6"/>
      <c r="P1" s="6"/>
      <c r="Q1" s="6"/>
      <c r="R1" s="6"/>
      <c r="S1" s="6"/>
      <c r="T1" s="1"/>
      <c r="U1" s="1"/>
    </row>
    <row r="2" spans="1:21" ht="15" customHeight="1">
      <c r="A2" s="140"/>
      <c r="B2" s="140"/>
      <c r="C2" s="140"/>
      <c r="D2" s="140"/>
      <c r="E2" s="140"/>
      <c r="F2" s="140"/>
      <c r="G2" s="140"/>
      <c r="H2" s="140"/>
      <c r="I2" s="140"/>
      <c r="J2" s="149" t="s">
        <v>301</v>
      </c>
      <c r="K2" s="6"/>
      <c r="L2" s="6"/>
      <c r="M2" s="6"/>
      <c r="N2" s="6"/>
      <c r="O2" s="6"/>
      <c r="P2" s="6"/>
      <c r="Q2" s="6"/>
      <c r="R2" s="6"/>
      <c r="S2" s="6"/>
      <c r="T2" s="1"/>
      <c r="U2" s="1"/>
    </row>
    <row r="3" spans="1:21" ht="15" customHeight="1">
      <c r="A3" s="139"/>
      <c r="B3" s="139"/>
      <c r="C3" s="139"/>
      <c r="D3" s="139"/>
      <c r="E3" s="139"/>
      <c r="F3" s="139"/>
      <c r="G3" s="139"/>
      <c r="H3" s="139"/>
      <c r="I3" s="139"/>
      <c r="J3" s="142"/>
      <c r="K3" s="1"/>
      <c r="L3" s="1"/>
    </row>
    <row r="4" spans="1:21" ht="50.1" customHeight="1">
      <c r="A4" s="18"/>
      <c r="B4" s="110" t="s">
        <v>0</v>
      </c>
      <c r="C4" s="110" t="str">
        <f>"Факт " &amp; J2 &amp; "                2023 г"</f>
        <v>Факт Сентябрь                2023 г</v>
      </c>
      <c r="D4" s="110" t="str">
        <f xml:space="preserve"> "Факт " &amp; J2 &amp; "                2024 г"</f>
        <v>Факт Сентябрь                2024 г</v>
      </c>
      <c r="E4" s="147" t="s">
        <v>252</v>
      </c>
      <c r="F4" s="148"/>
      <c r="G4" s="110" t="str">
        <f xml:space="preserve"> "Факт Январь -" &amp; J2 &amp; " 2023 г"</f>
        <v>Факт Январь -Сентябрь 2023 г</v>
      </c>
      <c r="H4" s="110" t="str">
        <f xml:space="preserve"> "Факт Январь -" &amp; J2 &amp; " 2024 г"</f>
        <v>Факт Январь -Сентябрь 2024 г</v>
      </c>
      <c r="I4" s="147" t="s">
        <v>252</v>
      </c>
      <c r="J4" s="148"/>
    </row>
    <row r="5" spans="1:21" ht="15" customHeight="1">
      <c r="A5" s="18"/>
      <c r="B5" s="93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21" ht="15" customHeight="1">
      <c r="A6" s="18" t="s">
        <v>1</v>
      </c>
      <c r="B6" s="110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21" s="74" customFormat="1" ht="24.95" customHeight="1">
      <c r="A7" s="18">
        <v>1</v>
      </c>
      <c r="B7" s="13" t="s">
        <v>167</v>
      </c>
      <c r="C7" s="83">
        <v>4000</v>
      </c>
      <c r="D7" s="83">
        <v>3305</v>
      </c>
      <c r="E7" s="18">
        <f t="shared" ref="E7" si="0">IF(AND(C7=0,D7=0),"",IFERROR(IF(OR(D7=0,D7=""),-C7,D7-C7),""))</f>
        <v>-695</v>
      </c>
      <c r="F7" s="84">
        <f t="shared" ref="F7" si="1">IF(AND(D7=0,C7=0),"",IFERROR(IF(C7=0, D7, D7/C7),""))</f>
        <v>0.82625000000000004</v>
      </c>
      <c r="G7" s="83">
        <v>16075</v>
      </c>
      <c r="H7" s="83">
        <v>19246</v>
      </c>
      <c r="I7" s="18">
        <f t="shared" ref="I7:I21" si="2">IF(AND(G7=0,H7=0),"",IFERROR(IF(OR(H7=0,H7=""),-G7,H7-G7),""))</f>
        <v>3171</v>
      </c>
      <c r="J7" s="84">
        <f t="shared" ref="J7:J21" si="3">IF(AND(H7=0,G7=0),"",IFERROR(IF(G7=0, H7, H7/G7),""))</f>
        <v>1.1972628304821151</v>
      </c>
    </row>
    <row r="8" spans="1:21" s="74" customFormat="1" ht="24.95" customHeight="1">
      <c r="A8" s="18">
        <v>2</v>
      </c>
      <c r="B8" s="29" t="s">
        <v>169</v>
      </c>
      <c r="C8" s="83" t="s">
        <v>242</v>
      </c>
      <c r="D8" s="83" t="s">
        <v>242</v>
      </c>
      <c r="E8" s="18" t="str">
        <f t="shared" ref="E8:E21" si="4">IF(AND(C8=0,D8=0),"",IFERROR(IF(OR(D8=0,D8=""),-C8,D8-C8),""))</f>
        <v/>
      </c>
      <c r="F8" s="84" t="str">
        <f t="shared" ref="F8:F21" si="5">IF(AND(D8=0,C8=0),"",IFERROR(IF(C8=0, D8, D8/C8),""))</f>
        <v/>
      </c>
      <c r="G8" s="83"/>
      <c r="H8" s="83"/>
      <c r="I8" s="18" t="str">
        <f t="shared" si="2"/>
        <v/>
      </c>
      <c r="J8" s="84" t="str">
        <f t="shared" si="3"/>
        <v/>
      </c>
    </row>
    <row r="9" spans="1:21" s="74" customFormat="1" ht="24.95" customHeight="1">
      <c r="A9" s="18">
        <v>3</v>
      </c>
      <c r="B9" s="31" t="s">
        <v>279</v>
      </c>
      <c r="C9" s="83">
        <v>913</v>
      </c>
      <c r="D9" s="83">
        <v>1207</v>
      </c>
      <c r="E9" s="18">
        <f t="shared" si="4"/>
        <v>294</v>
      </c>
      <c r="F9" s="84">
        <f t="shared" si="5"/>
        <v>1.3220153340635268</v>
      </c>
      <c r="G9" s="83">
        <v>11122</v>
      </c>
      <c r="H9" s="83">
        <v>9246</v>
      </c>
      <c r="I9" s="18">
        <f t="shared" si="2"/>
        <v>-1876</v>
      </c>
      <c r="J9" s="84">
        <f t="shared" si="3"/>
        <v>0.83132530120481929</v>
      </c>
    </row>
    <row r="10" spans="1:21" s="74" customFormat="1" ht="24.95" customHeight="1">
      <c r="A10" s="18">
        <v>4</v>
      </c>
      <c r="B10" s="15" t="s">
        <v>290</v>
      </c>
      <c r="C10" s="83">
        <v>1433</v>
      </c>
      <c r="D10" s="83">
        <v>21</v>
      </c>
      <c r="E10" s="18">
        <f t="shared" si="4"/>
        <v>-1412</v>
      </c>
      <c r="F10" s="84">
        <f t="shared" si="5"/>
        <v>1.465457083042568E-2</v>
      </c>
      <c r="G10" s="83">
        <v>76</v>
      </c>
      <c r="H10" s="83">
        <v>59</v>
      </c>
      <c r="I10" s="18">
        <f t="shared" si="2"/>
        <v>-17</v>
      </c>
      <c r="J10" s="84">
        <f t="shared" si="3"/>
        <v>0.77631578947368418</v>
      </c>
    </row>
    <row r="11" spans="1:21" s="74" customFormat="1" ht="24.95" customHeight="1">
      <c r="A11" s="18">
        <v>5</v>
      </c>
      <c r="B11" s="15" t="s">
        <v>281</v>
      </c>
      <c r="C11" s="83">
        <v>110</v>
      </c>
      <c r="D11" s="83">
        <v>108</v>
      </c>
      <c r="E11" s="18">
        <f t="shared" si="4"/>
        <v>-2</v>
      </c>
      <c r="F11" s="84">
        <f t="shared" si="5"/>
        <v>0.98181818181818181</v>
      </c>
      <c r="G11" s="83">
        <v>421</v>
      </c>
      <c r="H11" s="83">
        <v>289</v>
      </c>
      <c r="I11" s="18">
        <f t="shared" si="2"/>
        <v>-132</v>
      </c>
      <c r="J11" s="84">
        <f t="shared" si="3"/>
        <v>0.68646080760095007</v>
      </c>
    </row>
    <row r="12" spans="1:21" s="74" customFormat="1" ht="24.95" customHeight="1">
      <c r="A12" s="18">
        <v>6</v>
      </c>
      <c r="B12" s="15" t="s">
        <v>282</v>
      </c>
      <c r="C12" s="83">
        <v>48</v>
      </c>
      <c r="D12" s="83">
        <v>27</v>
      </c>
      <c r="E12" s="18">
        <f t="shared" si="4"/>
        <v>-21</v>
      </c>
      <c r="F12" s="84">
        <f t="shared" si="5"/>
        <v>0.5625</v>
      </c>
      <c r="G12" s="83">
        <v>98</v>
      </c>
      <c r="H12" s="83">
        <v>106</v>
      </c>
      <c r="I12" s="18">
        <f t="shared" si="2"/>
        <v>8</v>
      </c>
      <c r="J12" s="84">
        <f t="shared" si="3"/>
        <v>1.0816326530612246</v>
      </c>
    </row>
    <row r="13" spans="1:21" s="74" customFormat="1" ht="24.95" customHeight="1">
      <c r="A13" s="18">
        <v>7</v>
      </c>
      <c r="B13" s="15" t="s">
        <v>283</v>
      </c>
      <c r="C13" s="83">
        <v>40</v>
      </c>
      <c r="D13" s="83">
        <v>28</v>
      </c>
      <c r="E13" s="18">
        <f t="shared" si="4"/>
        <v>-12</v>
      </c>
      <c r="F13" s="84">
        <f t="shared" si="5"/>
        <v>0.7</v>
      </c>
      <c r="G13" s="83">
        <v>144</v>
      </c>
      <c r="H13" s="83">
        <v>137</v>
      </c>
      <c r="I13" s="18">
        <f t="shared" si="2"/>
        <v>-7</v>
      </c>
      <c r="J13" s="84">
        <f t="shared" si="3"/>
        <v>0.95138888888888884</v>
      </c>
    </row>
    <row r="14" spans="1:21" s="74" customFormat="1" ht="24.95" customHeight="1">
      <c r="A14" s="18">
        <v>8</v>
      </c>
      <c r="B14" s="15" t="s">
        <v>284</v>
      </c>
      <c r="C14" s="83">
        <v>271</v>
      </c>
      <c r="D14" s="83">
        <v>226</v>
      </c>
      <c r="E14" s="18">
        <f t="shared" si="4"/>
        <v>-45</v>
      </c>
      <c r="F14" s="84">
        <f t="shared" si="5"/>
        <v>0.83394833948339486</v>
      </c>
      <c r="G14" s="83">
        <v>972</v>
      </c>
      <c r="H14" s="83">
        <v>867</v>
      </c>
      <c r="I14" s="18">
        <f t="shared" si="2"/>
        <v>-105</v>
      </c>
      <c r="J14" s="84">
        <f t="shared" si="3"/>
        <v>0.89197530864197527</v>
      </c>
    </row>
    <row r="15" spans="1:21" s="74" customFormat="1" ht="24.95" customHeight="1">
      <c r="A15" s="18">
        <v>9</v>
      </c>
      <c r="B15" s="15" t="s">
        <v>285</v>
      </c>
      <c r="C15" s="83">
        <v>134</v>
      </c>
      <c r="D15" s="83">
        <v>64</v>
      </c>
      <c r="E15" s="18">
        <f t="shared" si="4"/>
        <v>-70</v>
      </c>
      <c r="F15" s="84">
        <f t="shared" si="5"/>
        <v>0.47761194029850745</v>
      </c>
      <c r="G15" s="83">
        <v>480</v>
      </c>
      <c r="H15" s="83">
        <v>459</v>
      </c>
      <c r="I15" s="18">
        <f t="shared" si="2"/>
        <v>-21</v>
      </c>
      <c r="J15" s="84">
        <f t="shared" si="3"/>
        <v>0.95625000000000004</v>
      </c>
    </row>
    <row r="16" spans="1:21" s="74" customFormat="1" ht="24.95" customHeight="1">
      <c r="A16" s="18">
        <v>10</v>
      </c>
      <c r="B16" s="15" t="s">
        <v>286</v>
      </c>
      <c r="C16" s="83">
        <v>2</v>
      </c>
      <c r="D16" s="83">
        <v>2</v>
      </c>
      <c r="E16" s="18">
        <f t="shared" si="4"/>
        <v>0</v>
      </c>
      <c r="F16" s="84">
        <f t="shared" si="5"/>
        <v>1</v>
      </c>
      <c r="G16" s="83">
        <v>19</v>
      </c>
      <c r="H16" s="83">
        <v>30</v>
      </c>
      <c r="I16" s="18">
        <f t="shared" si="2"/>
        <v>11</v>
      </c>
      <c r="J16" s="84">
        <f t="shared" si="3"/>
        <v>1.5789473684210527</v>
      </c>
    </row>
    <row r="17" spans="1:10" s="74" customFormat="1" ht="24.95" customHeight="1">
      <c r="A17" s="18">
        <v>11</v>
      </c>
      <c r="B17" s="15" t="s">
        <v>287</v>
      </c>
      <c r="C17" s="83">
        <v>1</v>
      </c>
      <c r="D17" s="83">
        <v>0</v>
      </c>
      <c r="E17" s="18">
        <f t="shared" si="4"/>
        <v>-1</v>
      </c>
      <c r="F17" s="84">
        <f t="shared" si="5"/>
        <v>0</v>
      </c>
      <c r="G17" s="83">
        <v>2</v>
      </c>
      <c r="H17" s="83">
        <v>2</v>
      </c>
      <c r="I17" s="18">
        <f t="shared" si="2"/>
        <v>0</v>
      </c>
      <c r="J17" s="84">
        <f t="shared" si="3"/>
        <v>1</v>
      </c>
    </row>
    <row r="18" spans="1:10" s="74" customFormat="1" ht="24.95" customHeight="1">
      <c r="A18" s="18">
        <v>12</v>
      </c>
      <c r="B18" s="15" t="s">
        <v>53</v>
      </c>
      <c r="C18" s="83">
        <v>529</v>
      </c>
      <c r="D18" s="83">
        <v>446</v>
      </c>
      <c r="E18" s="18">
        <f t="shared" si="4"/>
        <v>-83</v>
      </c>
      <c r="F18" s="84">
        <f t="shared" si="5"/>
        <v>0.84310018903591677</v>
      </c>
      <c r="G18" s="83">
        <v>3470</v>
      </c>
      <c r="H18" s="83">
        <v>2982</v>
      </c>
      <c r="I18" s="18">
        <f t="shared" si="2"/>
        <v>-488</v>
      </c>
      <c r="J18" s="84">
        <f t="shared" si="3"/>
        <v>0.85936599423631121</v>
      </c>
    </row>
    <row r="19" spans="1:10" s="74" customFormat="1" ht="24.95" customHeight="1">
      <c r="A19" s="18">
        <v>13</v>
      </c>
      <c r="B19" s="29" t="s">
        <v>22</v>
      </c>
      <c r="C19" s="83">
        <v>2084</v>
      </c>
      <c r="D19" s="83">
        <v>2066</v>
      </c>
      <c r="E19" s="18">
        <f t="shared" si="4"/>
        <v>-18</v>
      </c>
      <c r="F19" s="84">
        <f t="shared" si="5"/>
        <v>0.99136276391554701</v>
      </c>
      <c r="G19" s="83">
        <v>12314</v>
      </c>
      <c r="H19" s="83">
        <v>10543</v>
      </c>
      <c r="I19" s="18">
        <f t="shared" si="2"/>
        <v>-1771</v>
      </c>
      <c r="J19" s="84">
        <f t="shared" si="3"/>
        <v>0.85617995777164202</v>
      </c>
    </row>
    <row r="20" spans="1:10" s="74" customFormat="1" ht="24.95" customHeight="1">
      <c r="A20" s="18">
        <v>14</v>
      </c>
      <c r="B20" s="29" t="s">
        <v>23</v>
      </c>
      <c r="C20" s="83">
        <v>120</v>
      </c>
      <c r="D20" s="83">
        <v>68</v>
      </c>
      <c r="E20" s="18">
        <f t="shared" si="4"/>
        <v>-52</v>
      </c>
      <c r="F20" s="84">
        <f t="shared" si="5"/>
        <v>0.56666666666666665</v>
      </c>
      <c r="G20" s="83">
        <v>982</v>
      </c>
      <c r="H20" s="83">
        <v>599</v>
      </c>
      <c r="I20" s="18">
        <f t="shared" si="2"/>
        <v>-383</v>
      </c>
      <c r="J20" s="84">
        <f t="shared" si="3"/>
        <v>0.60997963340122197</v>
      </c>
    </row>
    <row r="21" spans="1:10" s="74" customFormat="1" ht="24.95" customHeight="1">
      <c r="A21" s="18">
        <v>15</v>
      </c>
      <c r="B21" s="29" t="s">
        <v>24</v>
      </c>
      <c r="C21" s="83">
        <v>15</v>
      </c>
      <c r="D21" s="83">
        <v>61</v>
      </c>
      <c r="E21" s="18">
        <f t="shared" si="4"/>
        <v>46</v>
      </c>
      <c r="F21" s="84">
        <f t="shared" si="5"/>
        <v>4.0666666666666664</v>
      </c>
      <c r="G21" s="83">
        <v>95</v>
      </c>
      <c r="H21" s="83">
        <v>471</v>
      </c>
      <c r="I21" s="18">
        <f t="shared" si="2"/>
        <v>376</v>
      </c>
      <c r="J21" s="84">
        <f t="shared" si="3"/>
        <v>4.9578947368421051</v>
      </c>
    </row>
  </sheetData>
  <sheetProtection algorithmName="SHA-512" hashValue="SuObTfxjf6eMSHGHx2cLwZpMxYD+pp7LId4BgD3YzFMsIjpttS/V9dBE696B/CtRfNbJv2xTA0NqpSB++I1Ahw==" saltValue="Lz0J6tiK4paGGAYlr4S+3w==" spinCount="100000" sheet="1" objects="1" scenarios="1"/>
  <mergeCells count="4">
    <mergeCell ref="E4:F4"/>
    <mergeCell ref="I4:J4"/>
    <mergeCell ref="A1:I3"/>
    <mergeCell ref="J2:J3"/>
  </mergeCells>
  <pageMargins left="0.25" right="0.25" top="0.75" bottom="0.75" header="0.3" footer="0.3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6C28F-ECBF-4F0B-8787-051C21110BD8}">
  <sheetPr>
    <pageSetUpPr fitToPage="1"/>
  </sheetPr>
  <dimension ref="A1:J21"/>
  <sheetViews>
    <sheetView topLeftCell="C1" zoomScale="85" zoomScaleNormal="85" workbookViewId="0">
      <selection activeCell="J7" sqref="J7"/>
    </sheetView>
  </sheetViews>
  <sheetFormatPr defaultRowHeight="15"/>
  <cols>
    <col min="1" max="1" width="3.7109375" style="78" customWidth="1"/>
    <col min="2" max="2" width="44.85546875" customWidth="1"/>
    <col min="3" max="10" width="15.7109375" customWidth="1"/>
  </cols>
  <sheetData>
    <row r="1" spans="1:10">
      <c r="A1" s="140" t="s">
        <v>260</v>
      </c>
      <c r="B1" s="140"/>
      <c r="C1" s="140"/>
      <c r="D1" s="140"/>
      <c r="E1" s="140"/>
      <c r="F1" s="140"/>
      <c r="G1" s="140"/>
      <c r="H1" s="140"/>
      <c r="I1" s="140"/>
      <c r="J1" s="109" t="s">
        <v>14</v>
      </c>
    </row>
    <row r="2" spans="1:10">
      <c r="A2" s="140"/>
      <c r="B2" s="140"/>
      <c r="C2" s="140"/>
      <c r="D2" s="140"/>
      <c r="E2" s="140"/>
      <c r="F2" s="140"/>
      <c r="G2" s="140"/>
      <c r="H2" s="140"/>
      <c r="I2" s="140"/>
      <c r="J2" s="149" t="s">
        <v>301</v>
      </c>
    </row>
    <row r="3" spans="1:10">
      <c r="A3" s="139"/>
      <c r="B3" s="139"/>
      <c r="C3" s="139"/>
      <c r="D3" s="139"/>
      <c r="E3" s="139"/>
      <c r="F3" s="139"/>
      <c r="G3" s="139"/>
      <c r="H3" s="139"/>
      <c r="I3" s="139"/>
      <c r="J3" s="142"/>
    </row>
    <row r="4" spans="1:10" ht="50.1" customHeight="1">
      <c r="A4" s="18"/>
      <c r="B4" s="110" t="s">
        <v>0</v>
      </c>
      <c r="C4" s="110" t="str">
        <f>"Факт " &amp; J2 &amp; "                2023 г"</f>
        <v>Факт Сентябрь                2023 г</v>
      </c>
      <c r="D4" s="110" t="str">
        <f xml:space="preserve"> "Факт " &amp; J2 &amp; "                     2024 г"</f>
        <v>Факт Сентябрь                     2024 г</v>
      </c>
      <c r="E4" s="147" t="s">
        <v>252</v>
      </c>
      <c r="F4" s="148"/>
      <c r="G4" s="110" t="str">
        <f xml:space="preserve"> "Факт Январь -" &amp; J2 &amp; " 2023 г"</f>
        <v>Факт Январь -Сентябрь 2023 г</v>
      </c>
      <c r="H4" s="110" t="str">
        <f xml:space="preserve"> "Факт Январь -" &amp; J2 &amp; " 2024 г"</f>
        <v>Факт Январь -Сентябрь 2024 г</v>
      </c>
      <c r="I4" s="147" t="s">
        <v>252</v>
      </c>
      <c r="J4" s="148"/>
    </row>
    <row r="5" spans="1:10" ht="15" customHeight="1">
      <c r="A5" s="18"/>
      <c r="B5" s="118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0" ht="15" customHeight="1">
      <c r="A6" s="18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0" ht="24.95" customHeight="1">
      <c r="A7" s="18">
        <v>1</v>
      </c>
      <c r="B7" s="13" t="s">
        <v>170</v>
      </c>
      <c r="C7" s="40">
        <v>886</v>
      </c>
      <c r="D7" s="40">
        <v>956</v>
      </c>
      <c r="E7" s="19">
        <f t="shared" ref="E7" si="0">IF(AND(C7=0,D7=0),"",IFERROR(IF(OR(D7=0,D7=""),-C7,D7-C7),""))</f>
        <v>70</v>
      </c>
      <c r="F7" s="42">
        <f t="shared" ref="F7" si="1">IF(AND(D7=0,C7=0),"",IFERROR(IF(C7=0, D7, D7/C7),""))</f>
        <v>1.0790067720090293</v>
      </c>
      <c r="G7" s="40">
        <v>4464</v>
      </c>
      <c r="H7" s="40">
        <v>4646</v>
      </c>
      <c r="I7" s="19">
        <f t="shared" ref="I7:I21" si="2">IF(AND(G7=0,H7=0),"",IFERROR(IF(OR(H7=0,H7=""),-G7,H7-G7),""))</f>
        <v>182</v>
      </c>
      <c r="J7" s="42">
        <f t="shared" ref="J7:J21" si="3">IF(AND(H7=0,G7=0),"",IFERROR(IF(G7=0, H7, H7/G7),""))</f>
        <v>1.0407706093189963</v>
      </c>
    </row>
    <row r="8" spans="1:10" ht="24.95" customHeight="1">
      <c r="A8" s="18">
        <v>2</v>
      </c>
      <c r="B8" s="29" t="s">
        <v>169</v>
      </c>
      <c r="C8" s="40"/>
      <c r="D8" s="40"/>
      <c r="E8" s="19" t="str">
        <f t="shared" ref="E8:E12" si="4">IF(AND(C8=0,D8=0),"",IFERROR(IF(OR(D8=0,D8=""),-C8,D8-C8),""))</f>
        <v/>
      </c>
      <c r="F8" s="42" t="str">
        <f t="shared" ref="F8:F12" si="5">IF(AND(D8=0,C8=0),"",IFERROR(IF(C8=0, D8, D8/C8),""))</f>
        <v/>
      </c>
      <c r="G8" s="40"/>
      <c r="H8" s="40"/>
      <c r="I8" s="19" t="str">
        <f t="shared" si="2"/>
        <v/>
      </c>
      <c r="J8" s="42" t="str">
        <f t="shared" si="3"/>
        <v/>
      </c>
    </row>
    <row r="9" spans="1:10" ht="24.95" customHeight="1">
      <c r="A9" s="18">
        <v>3</v>
      </c>
      <c r="B9" s="31" t="s">
        <v>279</v>
      </c>
      <c r="C9" s="40">
        <v>539</v>
      </c>
      <c r="D9" s="40">
        <v>480</v>
      </c>
      <c r="E9" s="19">
        <f t="shared" si="4"/>
        <v>-59</v>
      </c>
      <c r="F9" s="42">
        <f t="shared" si="5"/>
        <v>0.89053803339517623</v>
      </c>
      <c r="G9" s="40">
        <v>2111</v>
      </c>
      <c r="H9" s="40">
        <v>2542</v>
      </c>
      <c r="I9" s="19">
        <f t="shared" si="2"/>
        <v>431</v>
      </c>
      <c r="J9" s="42">
        <f t="shared" si="3"/>
        <v>1.2041686404547607</v>
      </c>
    </row>
    <row r="10" spans="1:10" ht="24.95" customHeight="1">
      <c r="A10" s="18">
        <v>4</v>
      </c>
      <c r="B10" s="31" t="s">
        <v>280</v>
      </c>
      <c r="C10" s="40">
        <v>7</v>
      </c>
      <c r="D10" s="40">
        <v>5</v>
      </c>
      <c r="E10" s="19">
        <f t="shared" si="4"/>
        <v>-2</v>
      </c>
      <c r="F10" s="42">
        <f t="shared" si="5"/>
        <v>0.7142857142857143</v>
      </c>
      <c r="G10" s="40">
        <v>82</v>
      </c>
      <c r="H10" s="40">
        <v>67</v>
      </c>
      <c r="I10" s="19">
        <f t="shared" si="2"/>
        <v>-15</v>
      </c>
      <c r="J10" s="42">
        <f t="shared" si="3"/>
        <v>0.81707317073170727</v>
      </c>
    </row>
    <row r="11" spans="1:10" ht="24.95" customHeight="1">
      <c r="A11" s="18">
        <v>5</v>
      </c>
      <c r="B11" s="31" t="s">
        <v>281</v>
      </c>
      <c r="C11" s="40">
        <v>43</v>
      </c>
      <c r="D11" s="40">
        <v>54</v>
      </c>
      <c r="E11" s="19">
        <f t="shared" si="4"/>
        <v>11</v>
      </c>
      <c r="F11" s="42">
        <f t="shared" si="5"/>
        <v>1.2558139534883721</v>
      </c>
      <c r="G11" s="40">
        <v>252</v>
      </c>
      <c r="H11" s="40">
        <v>279</v>
      </c>
      <c r="I11" s="19">
        <f t="shared" si="2"/>
        <v>27</v>
      </c>
      <c r="J11" s="42">
        <f t="shared" si="3"/>
        <v>1.1071428571428572</v>
      </c>
    </row>
    <row r="12" spans="1:10" ht="24.95" customHeight="1">
      <c r="A12" s="18">
        <v>6</v>
      </c>
      <c r="B12" s="31" t="s">
        <v>282</v>
      </c>
      <c r="C12" s="40">
        <v>4</v>
      </c>
      <c r="D12" s="40">
        <v>4</v>
      </c>
      <c r="E12" s="19">
        <f t="shared" si="4"/>
        <v>0</v>
      </c>
      <c r="F12" s="42">
        <f t="shared" si="5"/>
        <v>1</v>
      </c>
      <c r="G12" s="40">
        <v>19</v>
      </c>
      <c r="H12" s="40">
        <v>61</v>
      </c>
      <c r="I12" s="19">
        <f t="shared" si="2"/>
        <v>42</v>
      </c>
      <c r="J12" s="42">
        <f t="shared" si="3"/>
        <v>3.2105263157894739</v>
      </c>
    </row>
    <row r="13" spans="1:10" ht="24.95" customHeight="1">
      <c r="A13" s="18">
        <v>7</v>
      </c>
      <c r="B13" s="31" t="s">
        <v>283</v>
      </c>
      <c r="C13" s="40">
        <v>6</v>
      </c>
      <c r="D13" s="40">
        <v>19</v>
      </c>
      <c r="E13" s="19">
        <f t="shared" ref="E13:E21" si="6">IF(AND(C13=0,D13=0),"",IFERROR(IF(OR(D13=0,D13=""),-C13,D13-C13),""))</f>
        <v>13</v>
      </c>
      <c r="F13" s="42">
        <f t="shared" ref="F13:F21" si="7">IF(AND(D13=0,C13=0),"",IFERROR(IF(C13=0, D13, D13/C13),""))</f>
        <v>3.1666666666666665</v>
      </c>
      <c r="G13" s="40">
        <v>94</v>
      </c>
      <c r="H13" s="40">
        <v>167</v>
      </c>
      <c r="I13" s="19">
        <f t="shared" si="2"/>
        <v>73</v>
      </c>
      <c r="J13" s="42">
        <f t="shared" si="3"/>
        <v>1.7765957446808511</v>
      </c>
    </row>
    <row r="14" spans="1:10" ht="24.95" customHeight="1">
      <c r="A14" s="18">
        <v>8</v>
      </c>
      <c r="B14" s="31" t="s">
        <v>284</v>
      </c>
      <c r="C14" s="40">
        <v>48</v>
      </c>
      <c r="D14" s="40">
        <v>96</v>
      </c>
      <c r="E14" s="19">
        <f t="shared" si="6"/>
        <v>48</v>
      </c>
      <c r="F14" s="42">
        <f t="shared" si="7"/>
        <v>2</v>
      </c>
      <c r="G14" s="40">
        <v>357</v>
      </c>
      <c r="H14" s="40">
        <v>443</v>
      </c>
      <c r="I14" s="19">
        <f t="shared" si="2"/>
        <v>86</v>
      </c>
      <c r="J14" s="42">
        <f t="shared" si="3"/>
        <v>1.2408963585434174</v>
      </c>
    </row>
    <row r="15" spans="1:10" ht="24.95" customHeight="1">
      <c r="A15" s="18">
        <v>9</v>
      </c>
      <c r="B15" s="31" t="s">
        <v>285</v>
      </c>
      <c r="C15" s="40">
        <v>26</v>
      </c>
      <c r="D15" s="40">
        <v>55</v>
      </c>
      <c r="E15" s="19">
        <f t="shared" si="6"/>
        <v>29</v>
      </c>
      <c r="F15" s="42">
        <f t="shared" si="7"/>
        <v>2.1153846153846154</v>
      </c>
      <c r="G15" s="40">
        <v>415</v>
      </c>
      <c r="H15" s="40">
        <v>347</v>
      </c>
      <c r="I15" s="19">
        <f t="shared" si="2"/>
        <v>-68</v>
      </c>
      <c r="J15" s="42">
        <f t="shared" si="3"/>
        <v>0.83614457831325306</v>
      </c>
    </row>
    <row r="16" spans="1:10" ht="24.95" customHeight="1">
      <c r="A16" s="18">
        <v>10</v>
      </c>
      <c r="B16" s="31" t="s">
        <v>286</v>
      </c>
      <c r="C16" s="40">
        <v>7</v>
      </c>
      <c r="D16" s="40">
        <v>5</v>
      </c>
      <c r="E16" s="19">
        <f t="shared" si="6"/>
        <v>-2</v>
      </c>
      <c r="F16" s="42">
        <f t="shared" si="7"/>
        <v>0.7142857142857143</v>
      </c>
      <c r="G16" s="40">
        <v>20</v>
      </c>
      <c r="H16" s="40">
        <v>27</v>
      </c>
      <c r="I16" s="19">
        <f t="shared" si="2"/>
        <v>7</v>
      </c>
      <c r="J16" s="42">
        <f t="shared" si="3"/>
        <v>1.35</v>
      </c>
    </row>
    <row r="17" spans="1:10" ht="24.95" customHeight="1">
      <c r="A17" s="18">
        <v>11</v>
      </c>
      <c r="B17" s="31" t="s">
        <v>287</v>
      </c>
      <c r="C17" s="40">
        <v>0</v>
      </c>
      <c r="D17" s="40">
        <v>0</v>
      </c>
      <c r="E17" s="19" t="str">
        <f t="shared" si="6"/>
        <v/>
      </c>
      <c r="F17" s="42" t="str">
        <f t="shared" si="7"/>
        <v/>
      </c>
      <c r="G17" s="40">
        <v>4</v>
      </c>
      <c r="H17" s="40">
        <v>19</v>
      </c>
      <c r="I17" s="19">
        <f t="shared" si="2"/>
        <v>15</v>
      </c>
      <c r="J17" s="42">
        <f t="shared" si="3"/>
        <v>4.75</v>
      </c>
    </row>
    <row r="18" spans="1:10" ht="24.95" customHeight="1">
      <c r="A18" s="18">
        <v>12</v>
      </c>
      <c r="B18" s="31" t="s">
        <v>53</v>
      </c>
      <c r="C18" s="40">
        <v>132</v>
      </c>
      <c r="D18" s="40">
        <v>308</v>
      </c>
      <c r="E18" s="19">
        <f t="shared" si="6"/>
        <v>176</v>
      </c>
      <c r="F18" s="42">
        <f t="shared" si="7"/>
        <v>2.3333333333333335</v>
      </c>
      <c r="G18" s="40">
        <v>656</v>
      </c>
      <c r="H18" s="40">
        <v>601</v>
      </c>
      <c r="I18" s="19">
        <f t="shared" si="2"/>
        <v>-55</v>
      </c>
      <c r="J18" s="42">
        <f t="shared" si="3"/>
        <v>0.91615853658536583</v>
      </c>
    </row>
    <row r="19" spans="1:10" ht="24.95" customHeight="1">
      <c r="A19" s="18">
        <v>13</v>
      </c>
      <c r="B19" s="29" t="s">
        <v>288</v>
      </c>
      <c r="C19" s="40">
        <v>399</v>
      </c>
      <c r="D19" s="40">
        <v>492</v>
      </c>
      <c r="E19" s="19">
        <f t="shared" si="6"/>
        <v>93</v>
      </c>
      <c r="F19" s="42">
        <f t="shared" si="7"/>
        <v>1.2330827067669172</v>
      </c>
      <c r="G19" s="40">
        <v>2666</v>
      </c>
      <c r="H19" s="40">
        <v>3079</v>
      </c>
      <c r="I19" s="19">
        <f t="shared" si="2"/>
        <v>413</v>
      </c>
      <c r="J19" s="42">
        <f t="shared" si="3"/>
        <v>1.154913728432108</v>
      </c>
    </row>
    <row r="20" spans="1:10" ht="24.95" customHeight="1">
      <c r="A20" s="18">
        <v>14</v>
      </c>
      <c r="B20" s="29" t="s">
        <v>289</v>
      </c>
      <c r="C20" s="40">
        <v>4</v>
      </c>
      <c r="D20" s="40">
        <v>19</v>
      </c>
      <c r="E20" s="19">
        <f t="shared" si="6"/>
        <v>15</v>
      </c>
      <c r="F20" s="42">
        <f t="shared" si="7"/>
        <v>4.75</v>
      </c>
      <c r="G20" s="40">
        <v>240</v>
      </c>
      <c r="H20" s="40">
        <v>177</v>
      </c>
      <c r="I20" s="19">
        <f t="shared" si="2"/>
        <v>-63</v>
      </c>
      <c r="J20" s="42">
        <f t="shared" si="3"/>
        <v>0.73750000000000004</v>
      </c>
    </row>
    <row r="21" spans="1:10" ht="24.95" customHeight="1">
      <c r="A21" s="18">
        <v>15</v>
      </c>
      <c r="B21" s="29" t="s">
        <v>24</v>
      </c>
      <c r="C21" s="40">
        <v>0</v>
      </c>
      <c r="D21" s="40">
        <v>8</v>
      </c>
      <c r="E21" s="19">
        <f t="shared" si="6"/>
        <v>8</v>
      </c>
      <c r="F21" s="42">
        <f t="shared" si="7"/>
        <v>8</v>
      </c>
      <c r="G21" s="40">
        <v>19</v>
      </c>
      <c r="H21" s="40">
        <v>24</v>
      </c>
      <c r="I21" s="19">
        <f t="shared" si="2"/>
        <v>5</v>
      </c>
      <c r="J21" s="42">
        <f t="shared" si="3"/>
        <v>1.263157894736842</v>
      </c>
    </row>
  </sheetData>
  <sheetProtection algorithmName="SHA-512" hashValue="j9PjhY7dLhn25zOiuWCQ/Ms1Mby59hBLMJYo+qLMwUBjbBim6A45AeCnSoaobACbn+sM2rO5gg2O08DnAIWETQ==" saltValue="F0IQ24REnwpswB0NFHW4vA==" spinCount="100000" sheet="1" objects="1" scenarios="1"/>
  <mergeCells count="4">
    <mergeCell ref="A1:I3"/>
    <mergeCell ref="E4:F4"/>
    <mergeCell ref="I4:J4"/>
    <mergeCell ref="J2:J3"/>
  </mergeCells>
  <pageMargins left="0.7" right="0.7" top="0.75" bottom="0.75" header="0.3" footer="0.3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62D1E-2328-4071-8F40-DF99B8AE06F1}">
  <sheetPr>
    <pageSetUpPr fitToPage="1"/>
  </sheetPr>
  <dimension ref="A1:AX81"/>
  <sheetViews>
    <sheetView topLeftCell="C1" zoomScale="55" zoomScaleNormal="55" workbookViewId="0">
      <selection activeCell="K78" sqref="K78:N81"/>
    </sheetView>
  </sheetViews>
  <sheetFormatPr defaultRowHeight="15"/>
  <cols>
    <col min="1" max="1" width="3.7109375" style="78" customWidth="1"/>
    <col min="2" max="2" width="32" customWidth="1"/>
    <col min="3" max="18" width="12.7109375" customWidth="1"/>
    <col min="19" max="162" width="8.7109375" customWidth="1"/>
  </cols>
  <sheetData>
    <row r="1" spans="1:50" ht="15" customHeight="1">
      <c r="A1" s="140" t="s">
        <v>303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79" t="s">
        <v>14</v>
      </c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</row>
    <row r="2" spans="1:50" ht="15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54" t="s">
        <v>301</v>
      </c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</row>
    <row r="3" spans="1:50" ht="15" customHeight="1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55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</row>
    <row r="4" spans="1:50" ht="50.1" customHeight="1">
      <c r="A4" s="18"/>
      <c r="B4" s="48" t="s">
        <v>145</v>
      </c>
      <c r="C4" s="136" t="s">
        <v>139</v>
      </c>
      <c r="D4" s="159"/>
      <c r="E4" s="159"/>
      <c r="F4" s="143"/>
      <c r="G4" s="136" t="s">
        <v>251</v>
      </c>
      <c r="H4" s="159"/>
      <c r="I4" s="159"/>
      <c r="J4" s="143"/>
      <c r="K4" s="136" t="str">
        <f xml:space="preserve"> "Факт Январь - " &amp;$R2&amp; " 2023 г"</f>
        <v>Факт Январь - Сентябрь 2023 г</v>
      </c>
      <c r="L4" s="143"/>
      <c r="M4" s="136" t="str">
        <f xml:space="preserve"> "Факт Январь - " &amp;$R2&amp; " 2024 г"</f>
        <v>Факт Январь - Сентябрь 2024 г</v>
      </c>
      <c r="N4" s="143"/>
      <c r="O4" s="136" t="s">
        <v>251</v>
      </c>
      <c r="P4" s="159"/>
      <c r="Q4" s="159"/>
      <c r="R4" s="143"/>
    </row>
    <row r="5" spans="1:50" ht="15" customHeight="1">
      <c r="A5" s="150"/>
      <c r="B5" s="152"/>
      <c r="C5" s="160" t="str">
        <f>"Факт " &amp;$R2 &amp; " 2023 г"</f>
        <v>Факт Сентябрь 2023 г</v>
      </c>
      <c r="D5" s="161"/>
      <c r="E5" s="162" t="str">
        <f>"Факт " &amp;$R2 &amp; " 2024 г"</f>
        <v>Факт Сентябрь 2024 г</v>
      </c>
      <c r="F5" s="163"/>
      <c r="G5" s="164" t="s">
        <v>140</v>
      </c>
      <c r="H5" s="165"/>
      <c r="I5" s="160" t="s">
        <v>4</v>
      </c>
      <c r="J5" s="161"/>
      <c r="K5" s="164" t="s">
        <v>140</v>
      </c>
      <c r="L5" s="165"/>
      <c r="M5" s="164" t="s">
        <v>140</v>
      </c>
      <c r="N5" s="165"/>
      <c r="O5" s="164" t="s">
        <v>140</v>
      </c>
      <c r="P5" s="165"/>
      <c r="Q5" s="160" t="s">
        <v>4</v>
      </c>
      <c r="R5" s="161"/>
    </row>
    <row r="6" spans="1:50" ht="15" customHeight="1">
      <c r="A6" s="151"/>
      <c r="B6" s="153"/>
      <c r="C6" s="17" t="s">
        <v>25</v>
      </c>
      <c r="D6" s="18" t="s">
        <v>138</v>
      </c>
      <c r="E6" s="18" t="s">
        <v>25</v>
      </c>
      <c r="F6" s="18" t="s">
        <v>138</v>
      </c>
      <c r="G6" s="18" t="s">
        <v>25</v>
      </c>
      <c r="H6" s="17" t="s">
        <v>138</v>
      </c>
      <c r="I6" s="17" t="s">
        <v>25</v>
      </c>
      <c r="J6" s="17" t="s">
        <v>138</v>
      </c>
      <c r="K6" s="18" t="s">
        <v>25</v>
      </c>
      <c r="L6" s="17" t="s">
        <v>138</v>
      </c>
      <c r="M6" s="18" t="s">
        <v>25</v>
      </c>
      <c r="N6" s="17" t="s">
        <v>138</v>
      </c>
      <c r="O6" s="18" t="s">
        <v>25</v>
      </c>
      <c r="P6" s="17" t="s">
        <v>138</v>
      </c>
      <c r="Q6" s="17" t="s">
        <v>25</v>
      </c>
      <c r="R6" s="17" t="s">
        <v>138</v>
      </c>
    </row>
    <row r="7" spans="1:50" ht="15" customHeight="1">
      <c r="A7" s="18" t="s">
        <v>1</v>
      </c>
      <c r="B7" s="12" t="s">
        <v>12</v>
      </c>
      <c r="C7" s="17">
        <v>113</v>
      </c>
      <c r="D7" s="18">
        <v>114</v>
      </c>
      <c r="E7" s="17">
        <v>115</v>
      </c>
      <c r="F7" s="18">
        <v>116</v>
      </c>
      <c r="G7" s="17">
        <v>117</v>
      </c>
      <c r="H7" s="18">
        <v>118</v>
      </c>
      <c r="I7" s="17">
        <v>119</v>
      </c>
      <c r="J7" s="18">
        <v>120</v>
      </c>
      <c r="K7" s="17">
        <v>121</v>
      </c>
      <c r="L7" s="18">
        <v>122</v>
      </c>
      <c r="M7" s="17">
        <v>123</v>
      </c>
      <c r="N7" s="18">
        <v>124</v>
      </c>
      <c r="O7" s="17">
        <v>125</v>
      </c>
      <c r="P7" s="18">
        <v>126</v>
      </c>
      <c r="Q7" s="17">
        <v>127</v>
      </c>
      <c r="R7" s="18">
        <v>128</v>
      </c>
    </row>
    <row r="8" spans="1:50" ht="24.95" customHeight="1">
      <c r="A8" s="18">
        <v>1</v>
      </c>
      <c r="B8" s="29" t="s">
        <v>26</v>
      </c>
      <c r="C8" s="43">
        <f t="shared" ref="C8:F10" si="0">IF(C78+C18+C28+C38+C58+C68=0,"",C78+C18+C28+C38+C58+C68)</f>
        <v>10</v>
      </c>
      <c r="D8" s="43" t="str">
        <f t="shared" si="0"/>
        <v/>
      </c>
      <c r="E8" s="43">
        <f t="shared" si="0"/>
        <v>20</v>
      </c>
      <c r="F8" s="43" t="str">
        <f t="shared" si="0"/>
        <v/>
      </c>
      <c r="G8" s="19">
        <f>IF(AND(C8=0,E8=0),"",IFERROR(IF(OR(E8=0,E8=""),-C8,E8-C8),""))</f>
        <v>10</v>
      </c>
      <c r="H8" s="19" t="str">
        <f>IF(AND(D8=0,F8=0),"",IFERROR(IF(OR(F8=0,F8=""),-D8,F8-D8),""))</f>
        <v/>
      </c>
      <c r="I8" s="42">
        <f>IF(AND(E8=0,C8=0),"",IFERROR(IF(C8=0, E8, E8/C8),""))</f>
        <v>2</v>
      </c>
      <c r="J8" s="42" t="str">
        <f>IF(AND(F8=0,D8=0),"",IFERROR(IF(D8=0, F8, F8/D8),""))</f>
        <v/>
      </c>
      <c r="K8" s="43">
        <f t="shared" ref="K8:N8" si="1">IF(K78+K18+K28+K38+K58+K68=0,"",K78+K18+K28+K38+K58+K68)</f>
        <v>1</v>
      </c>
      <c r="L8" s="43">
        <f t="shared" si="1"/>
        <v>4</v>
      </c>
      <c r="M8" s="43">
        <f t="shared" si="1"/>
        <v>80</v>
      </c>
      <c r="N8" s="43" t="str">
        <f t="shared" si="1"/>
        <v/>
      </c>
      <c r="O8" s="19">
        <f>IF(AND(K8=0,M8=0),"",IFERROR(IF(OR(M8=0,M8=""),-K8,M8-K8),""))</f>
        <v>79</v>
      </c>
      <c r="P8" s="19">
        <f>IF(AND(L8=0,N8=0),"",IFERROR(IF(OR(N8=0,N8=""),-L8,N8-L8),""))</f>
        <v>-4</v>
      </c>
      <c r="Q8" s="42">
        <f>IF(AND(M8=0,K8=0),"",IFERROR(IF(K8=0, M8, M8/K8),""))</f>
        <v>80</v>
      </c>
      <c r="R8" s="42" t="str">
        <f>IF(AND(N8=0,L8=0),"",IFERROR(IF(L8=0, N8, N8/L8),""))</f>
        <v/>
      </c>
    </row>
    <row r="9" spans="1:50" ht="24.95" customHeight="1">
      <c r="A9" s="18">
        <v>2</v>
      </c>
      <c r="B9" s="29" t="s">
        <v>168</v>
      </c>
      <c r="C9" s="43" t="str">
        <f t="shared" si="0"/>
        <v/>
      </c>
      <c r="D9" s="43" t="str">
        <f t="shared" si="0"/>
        <v/>
      </c>
      <c r="E9" s="43" t="str">
        <f t="shared" si="0"/>
        <v/>
      </c>
      <c r="F9" s="43" t="str">
        <f t="shared" si="0"/>
        <v/>
      </c>
      <c r="G9" s="19" t="str">
        <f t="shared" ref="G9:G10" si="2">IF(AND(C9=0,E9=0),"",IFERROR(IF(OR(E9=0,E9=""),-C9,E9-C9),""))</f>
        <v/>
      </c>
      <c r="H9" s="19" t="str">
        <f t="shared" ref="H9:H10" si="3">IF(AND(D9=0,F9=0),"",IFERROR(IF(OR(F9=0,F9=""),-D9,F9-D9),""))</f>
        <v/>
      </c>
      <c r="I9" s="42" t="str">
        <f t="shared" ref="I9:I11" si="4">IF(AND(E9=0,C9=0),"",IFERROR(IF(C9=0, E9, E9/C9),""))</f>
        <v/>
      </c>
      <c r="J9" s="42" t="str">
        <f t="shared" ref="J9:J11" si="5">IF(AND(F9=0,D9=0),"",IFERROR(IF(D9=0, F9, F9/D9),""))</f>
        <v/>
      </c>
      <c r="K9" s="43" t="str">
        <f t="shared" ref="K9:N9" si="6">IF(K79+K19+K29+K39+K59+K69=0,"",K79+K19+K29+K39+K59+K69)</f>
        <v/>
      </c>
      <c r="L9" s="43" t="str">
        <f t="shared" si="6"/>
        <v/>
      </c>
      <c r="M9" s="43">
        <f t="shared" si="6"/>
        <v>35</v>
      </c>
      <c r="N9" s="43" t="str">
        <f t="shared" si="6"/>
        <v/>
      </c>
      <c r="O9" s="19" t="str">
        <f t="shared" ref="O9:O10" si="7">IF(AND(K9=0,M9=0),"",IFERROR(IF(OR(M9=0,M9=""),-K9,M9-K9),""))</f>
        <v/>
      </c>
      <c r="P9" s="19" t="str">
        <f t="shared" ref="P9:P10" si="8">IF(AND(L9=0,N9=0),"",IFERROR(IF(OR(N9=0,N9=""),-L9,N9-L9),""))</f>
        <v/>
      </c>
      <c r="Q9" s="42" t="str">
        <f t="shared" ref="Q9:Q11" si="9">IF(AND(M9=0,K9=0),"",IFERROR(IF(K9=0, M9, M9/K9),""))</f>
        <v/>
      </c>
      <c r="R9" s="42" t="str">
        <f t="shared" ref="R9:R11" si="10">IF(AND(N9=0,L9=0),"",IFERROR(IF(L9=0, N9, N9/L9),""))</f>
        <v/>
      </c>
    </row>
    <row r="10" spans="1:50" ht="24.95" customHeight="1">
      <c r="A10" s="18">
        <v>3</v>
      </c>
      <c r="B10" s="29" t="s">
        <v>27</v>
      </c>
      <c r="C10" s="43" t="str">
        <f t="shared" si="0"/>
        <v/>
      </c>
      <c r="D10" s="43" t="str">
        <f t="shared" si="0"/>
        <v/>
      </c>
      <c r="E10" s="43" t="str">
        <f t="shared" si="0"/>
        <v/>
      </c>
      <c r="F10" s="43" t="str">
        <f t="shared" si="0"/>
        <v/>
      </c>
      <c r="G10" s="19" t="str">
        <f t="shared" si="2"/>
        <v/>
      </c>
      <c r="H10" s="19" t="str">
        <f t="shared" si="3"/>
        <v/>
      </c>
      <c r="I10" s="42" t="str">
        <f t="shared" si="4"/>
        <v/>
      </c>
      <c r="J10" s="42" t="str">
        <f t="shared" si="5"/>
        <v/>
      </c>
      <c r="K10" s="43" t="str">
        <f t="shared" ref="K10:N10" si="11">IF(K80+K20+K30+K40+K60+K70=0,"",K80+K20+K30+K40+K60+K70)</f>
        <v/>
      </c>
      <c r="L10" s="43" t="str">
        <f t="shared" si="11"/>
        <v/>
      </c>
      <c r="M10" s="43">
        <f t="shared" si="11"/>
        <v>6</v>
      </c>
      <c r="N10" s="43" t="str">
        <f t="shared" si="11"/>
        <v/>
      </c>
      <c r="O10" s="19" t="str">
        <f t="shared" si="7"/>
        <v/>
      </c>
      <c r="P10" s="19" t="str">
        <f t="shared" si="8"/>
        <v/>
      </c>
      <c r="Q10" s="42" t="str">
        <f t="shared" si="9"/>
        <v/>
      </c>
      <c r="R10" s="42" t="str">
        <f t="shared" si="10"/>
        <v/>
      </c>
    </row>
    <row r="11" spans="1:50" ht="24.95" customHeight="1">
      <c r="A11" s="18">
        <v>4</v>
      </c>
      <c r="B11" s="29" t="s">
        <v>28</v>
      </c>
      <c r="C11" s="43" t="str">
        <f>IFERROR(C8+C9+C10,"")</f>
        <v/>
      </c>
      <c r="D11" s="43" t="str">
        <f>IFERROR(D8+D9+D10,"")</f>
        <v/>
      </c>
      <c r="E11" s="43" t="str">
        <f>IFERROR(E8+E9+E10,"")</f>
        <v/>
      </c>
      <c r="F11" s="43" t="str">
        <f>IFERROR(F8+F9+F10,"")</f>
        <v/>
      </c>
      <c r="G11" s="19" t="str">
        <f>IF(AND(C11=0,E11=0),"",IFERROR(IF(OR(E11=0,E11=""),-C11,E11-C11),""))</f>
        <v/>
      </c>
      <c r="H11" s="19" t="str">
        <f>IF(AND(D11=0,F11=0),"",IFERROR(IF(OR(F11=0,F11=""),-D11,F11-D11),""))</f>
        <v/>
      </c>
      <c r="I11" s="42" t="str">
        <f t="shared" si="4"/>
        <v/>
      </c>
      <c r="J11" s="42" t="str">
        <f t="shared" si="5"/>
        <v/>
      </c>
      <c r="K11" s="43" t="str">
        <f>IFERROR(K8+K9+K10,"")</f>
        <v/>
      </c>
      <c r="L11" s="43" t="str">
        <f>IFERROR(L8+L9+L10,"")</f>
        <v/>
      </c>
      <c r="M11" s="43">
        <f>IFERROR(M8+M9+M10,"")</f>
        <v>121</v>
      </c>
      <c r="N11" s="43" t="str">
        <f>IFERROR(N8+N9+N10,"")</f>
        <v/>
      </c>
      <c r="O11" s="19" t="str">
        <f>IF(AND(K11=0,M11=0),"",IFERROR(IF(OR(M11=0,M11=""),-K11,M11-K11),""))</f>
        <v/>
      </c>
      <c r="P11" s="19" t="str">
        <f>IF(AND(L11=0,N11=0),"",IFERROR(IF(OR(N11=0,N11=""),-L11,N11-L11),""))</f>
        <v/>
      </c>
      <c r="Q11" s="42" t="str">
        <f t="shared" si="9"/>
        <v/>
      </c>
      <c r="R11" s="42" t="str">
        <f t="shared" si="10"/>
        <v/>
      </c>
    </row>
    <row r="12" spans="1:50">
      <c r="A12" s="156" t="s">
        <v>243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</row>
    <row r="13" spans="1:50">
      <c r="A13" s="139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</row>
    <row r="14" spans="1:50" ht="50.1" customHeight="1">
      <c r="A14" s="18"/>
      <c r="B14" s="66" t="s">
        <v>145</v>
      </c>
      <c r="C14" s="136"/>
      <c r="D14" s="159"/>
      <c r="E14" s="159"/>
      <c r="F14" s="143"/>
      <c r="G14" s="136" t="s">
        <v>251</v>
      </c>
      <c r="H14" s="159"/>
      <c r="I14" s="159"/>
      <c r="J14" s="143"/>
      <c r="K14" s="136" t="str">
        <f xml:space="preserve"> "Факт Январь - " &amp;$R2&amp; " 2023 г"</f>
        <v>Факт Январь - Сентябрь 2023 г</v>
      </c>
      <c r="L14" s="143"/>
      <c r="M14" s="136" t="str">
        <f xml:space="preserve"> "Факт Январь - " &amp;$R2&amp; " 2024 г"</f>
        <v>Факт Январь - Сентябрь 2024 г</v>
      </c>
      <c r="N14" s="143"/>
      <c r="O14" s="136" t="s">
        <v>251</v>
      </c>
      <c r="P14" s="159"/>
      <c r="Q14" s="159"/>
      <c r="R14" s="143"/>
    </row>
    <row r="15" spans="1:50">
      <c r="A15" s="150"/>
      <c r="B15" s="152"/>
      <c r="C15" s="160" t="str">
        <f>"Факт " &amp;$R2 &amp; " 2023 г"</f>
        <v>Факт Сентябрь 2023 г</v>
      </c>
      <c r="D15" s="161"/>
      <c r="E15" s="162" t="str">
        <f>"Факт " &amp;$R2 &amp; " 2024 г"</f>
        <v>Факт Сентябрь 2024 г</v>
      </c>
      <c r="F15" s="163"/>
      <c r="G15" s="164" t="s">
        <v>140</v>
      </c>
      <c r="H15" s="165"/>
      <c r="I15" s="160" t="s">
        <v>4</v>
      </c>
      <c r="J15" s="161"/>
      <c r="K15" s="164" t="s">
        <v>140</v>
      </c>
      <c r="L15" s="165"/>
      <c r="M15" s="164" t="s">
        <v>140</v>
      </c>
      <c r="N15" s="165"/>
      <c r="O15" s="164" t="s">
        <v>140</v>
      </c>
      <c r="P15" s="165"/>
      <c r="Q15" s="160" t="s">
        <v>4</v>
      </c>
      <c r="R15" s="161"/>
    </row>
    <row r="16" spans="1:50">
      <c r="A16" s="151"/>
      <c r="B16" s="153"/>
      <c r="C16" s="17" t="s">
        <v>25</v>
      </c>
      <c r="D16" s="18" t="s">
        <v>138</v>
      </c>
      <c r="E16" s="18" t="s">
        <v>25</v>
      </c>
      <c r="F16" s="18" t="s">
        <v>138</v>
      </c>
      <c r="G16" s="18" t="s">
        <v>25</v>
      </c>
      <c r="H16" s="17" t="s">
        <v>138</v>
      </c>
      <c r="I16" s="17" t="s">
        <v>25</v>
      </c>
      <c r="J16" s="17" t="s">
        <v>138</v>
      </c>
      <c r="K16" s="18" t="s">
        <v>25</v>
      </c>
      <c r="L16" s="17" t="s">
        <v>138</v>
      </c>
      <c r="M16" s="18" t="s">
        <v>25</v>
      </c>
      <c r="N16" s="17" t="s">
        <v>138</v>
      </c>
      <c r="O16" s="18" t="s">
        <v>25</v>
      </c>
      <c r="P16" s="17" t="s">
        <v>138</v>
      </c>
      <c r="Q16" s="17" t="s">
        <v>25</v>
      </c>
      <c r="R16" s="17" t="s">
        <v>138</v>
      </c>
    </row>
    <row r="17" spans="1:18">
      <c r="A17" s="18" t="s">
        <v>1</v>
      </c>
      <c r="B17" s="12" t="s">
        <v>12</v>
      </c>
      <c r="C17" s="17">
        <v>17</v>
      </c>
      <c r="D17" s="18">
        <v>18</v>
      </c>
      <c r="E17" s="17">
        <v>19</v>
      </c>
      <c r="F17" s="18">
        <v>20</v>
      </c>
      <c r="G17" s="17">
        <v>21</v>
      </c>
      <c r="H17" s="18">
        <v>22</v>
      </c>
      <c r="I17" s="17">
        <v>23</v>
      </c>
      <c r="J17" s="18">
        <v>24</v>
      </c>
      <c r="K17" s="17">
        <v>25</v>
      </c>
      <c r="L17" s="18">
        <v>26</v>
      </c>
      <c r="M17" s="17">
        <v>27</v>
      </c>
      <c r="N17" s="18">
        <v>28</v>
      </c>
      <c r="O17" s="17">
        <v>29</v>
      </c>
      <c r="P17" s="18">
        <v>30</v>
      </c>
      <c r="Q17" s="17">
        <v>31</v>
      </c>
      <c r="R17" s="18">
        <v>32</v>
      </c>
    </row>
    <row r="18" spans="1:18" ht="24.95" customHeight="1">
      <c r="A18" s="18">
        <v>1</v>
      </c>
      <c r="B18" s="29" t="s">
        <v>26</v>
      </c>
      <c r="C18" s="41">
        <v>10</v>
      </c>
      <c r="D18" s="40">
        <v>0</v>
      </c>
      <c r="E18" s="40">
        <v>20</v>
      </c>
      <c r="F18" s="40">
        <v>0</v>
      </c>
      <c r="G18" s="19">
        <f>IF(AND(C18=0,E18=0),"",IFERROR(IF(OR(E18=0,E18=""),-C18,E18-C18),""))</f>
        <v>10</v>
      </c>
      <c r="H18" s="19" t="str">
        <f>IF(AND(D18=0,F18=0),"",IFERROR(IF(OR(F18=0,F18=""),-D18,F18-D18),""))</f>
        <v/>
      </c>
      <c r="I18" s="42">
        <f>IF(AND(E18=0,C18=0),"",IFERROR(IF(C18=0, E18, E18/C18),""))</f>
        <v>2</v>
      </c>
      <c r="J18" s="42" t="str">
        <f>IF(AND(F18=0,D18=0),"",IFERROR(IF(D18=0, F18, F18/D18),""))</f>
        <v/>
      </c>
      <c r="K18" s="40"/>
      <c r="L18" s="40"/>
      <c r="M18" s="40"/>
      <c r="N18" s="40"/>
      <c r="O18" s="19" t="str">
        <f>IF(AND(K18=0,M18=0),"",IFERROR(IF(OR(M18=0,M18=""),-K18,M18-K18),""))</f>
        <v/>
      </c>
      <c r="P18" s="19" t="str">
        <f>IF(AND(L18=0,N18=0),"",IFERROR(IF(OR(N18=0,N18=""),-L18,N18-L18),""))</f>
        <v/>
      </c>
      <c r="Q18" s="42" t="str">
        <f>IF(AND(M18=0,K18=0),"",IFERROR(IF(K18=0, M18, M18/K18),""))</f>
        <v/>
      </c>
      <c r="R18" s="42" t="str">
        <f>IF(AND(N18=0,L18=0),"",IFERROR(IF(L18=0, N18, N18/L18),""))</f>
        <v/>
      </c>
    </row>
    <row r="19" spans="1:18" ht="24.95" customHeight="1">
      <c r="A19" s="18">
        <v>2</v>
      </c>
      <c r="B19" s="29" t="s">
        <v>168</v>
      </c>
      <c r="C19" s="40"/>
      <c r="D19" s="40"/>
      <c r="E19" s="40"/>
      <c r="F19" s="40"/>
      <c r="G19" s="19" t="str">
        <f t="shared" ref="G19:H20" si="12">IF(AND(C19=0,E19=0),"",IFERROR(IF(OR(E19=0,E19=""),-C19,E19-C19),""))</f>
        <v/>
      </c>
      <c r="H19" s="19" t="str">
        <f t="shared" si="12"/>
        <v/>
      </c>
      <c r="I19" s="42" t="str">
        <f t="shared" ref="I19:I21" si="13">IF(AND(E19=0,C19=0),"",IFERROR(IF(C19=0, E19, E19/C19),""))</f>
        <v/>
      </c>
      <c r="J19" s="42" t="str">
        <f t="shared" ref="J19:J21" si="14">IF(AND(F19=0,D19=0),"",IFERROR(IF(D19=0, F19, F19/D19),""))</f>
        <v/>
      </c>
      <c r="K19" s="40"/>
      <c r="L19" s="40"/>
      <c r="M19" s="40">
        <v>35</v>
      </c>
      <c r="N19" s="40"/>
      <c r="O19" s="19">
        <f t="shared" ref="O19:O20" si="15">IF(AND(K19=0,M19=0),"",IFERROR(IF(OR(M19=0,M19=""),-K19,M19-K19),""))</f>
        <v>35</v>
      </c>
      <c r="P19" s="19" t="str">
        <f t="shared" ref="P19:P20" si="16">IF(AND(L19=0,N19=0),"",IFERROR(IF(OR(N19=0,N19=""),-L19,N19-L19),""))</f>
        <v/>
      </c>
      <c r="Q19" s="42">
        <f t="shared" ref="Q19:Q21" si="17">IF(AND(M19=0,K19=0),"",IFERROR(IF(K19=0, M19, M19/K19),""))</f>
        <v>35</v>
      </c>
      <c r="R19" s="42" t="str">
        <f t="shared" ref="R19:R21" si="18">IF(AND(N19=0,L19=0),"",IFERROR(IF(L19=0, N19, N19/L19),""))</f>
        <v/>
      </c>
    </row>
    <row r="20" spans="1:18" ht="24.75" customHeight="1">
      <c r="A20" s="18">
        <v>3</v>
      </c>
      <c r="B20" s="29" t="s">
        <v>27</v>
      </c>
      <c r="C20" s="40"/>
      <c r="D20" s="40"/>
      <c r="E20" s="40"/>
      <c r="F20" s="40"/>
      <c r="G20" s="19" t="str">
        <f t="shared" si="12"/>
        <v/>
      </c>
      <c r="H20" s="19" t="str">
        <f t="shared" si="12"/>
        <v/>
      </c>
      <c r="I20" s="42" t="str">
        <f t="shared" si="13"/>
        <v/>
      </c>
      <c r="J20" s="42" t="str">
        <f t="shared" si="14"/>
        <v/>
      </c>
      <c r="K20" s="40"/>
      <c r="L20" s="40"/>
      <c r="M20" s="40"/>
      <c r="N20" s="40"/>
      <c r="O20" s="19" t="str">
        <f t="shared" si="15"/>
        <v/>
      </c>
      <c r="P20" s="19" t="str">
        <f t="shared" si="16"/>
        <v/>
      </c>
      <c r="Q20" s="42" t="str">
        <f t="shared" si="17"/>
        <v/>
      </c>
      <c r="R20" s="42" t="str">
        <f t="shared" si="18"/>
        <v/>
      </c>
    </row>
    <row r="21" spans="1:18" ht="24.95" customHeight="1">
      <c r="A21" s="18">
        <v>4</v>
      </c>
      <c r="B21" s="29" t="s">
        <v>28</v>
      </c>
      <c r="C21" s="40"/>
      <c r="D21" s="40"/>
      <c r="E21" s="40"/>
      <c r="F21" s="40"/>
      <c r="G21" s="19" t="str">
        <f>IF(AND(C21=0,E21=0),"",IFERROR(IF(OR(E21=0,E21=""),-C21,E21-C21),""))</f>
        <v/>
      </c>
      <c r="H21" s="19" t="str">
        <f>IF(AND(D21=0,F21=0),"",IFERROR(IF(OR(F21=0,F21=""),-D21,F21-D21),""))</f>
        <v/>
      </c>
      <c r="I21" s="42" t="str">
        <f t="shared" si="13"/>
        <v/>
      </c>
      <c r="J21" s="42" t="str">
        <f t="shared" si="14"/>
        <v/>
      </c>
      <c r="K21" s="40"/>
      <c r="L21" s="40"/>
      <c r="M21" s="40"/>
      <c r="N21" s="40"/>
      <c r="O21" s="19" t="str">
        <f>IF(AND(K21=0,M21=0),"",IFERROR(IF(OR(M21=0,M21=""),-K21,M21-K21),""))</f>
        <v/>
      </c>
      <c r="P21" s="19" t="str">
        <f>IF(AND(L21=0,N21=0),"",IFERROR(IF(OR(N21=0,N21=""),-L21,N21-L21),""))</f>
        <v/>
      </c>
      <c r="Q21" s="42" t="str">
        <f t="shared" si="17"/>
        <v/>
      </c>
      <c r="R21" s="42" t="str">
        <f t="shared" si="18"/>
        <v/>
      </c>
    </row>
    <row r="22" spans="1:18" ht="15" customHeight="1">
      <c r="A22" s="156" t="s">
        <v>244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</row>
    <row r="23" spans="1:18" ht="15" customHeight="1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</row>
    <row r="24" spans="1:18" ht="50.1" customHeight="1">
      <c r="A24" s="18"/>
      <c r="B24" s="66" t="s">
        <v>145</v>
      </c>
      <c r="C24" s="136"/>
      <c r="D24" s="159"/>
      <c r="E24" s="159"/>
      <c r="F24" s="143"/>
      <c r="G24" s="136" t="s">
        <v>251</v>
      </c>
      <c r="H24" s="159"/>
      <c r="I24" s="159"/>
      <c r="J24" s="143"/>
      <c r="K24" s="136" t="str">
        <f xml:space="preserve"> "Факт Январь - " &amp;$R2&amp; " 2023 г"</f>
        <v>Факт Январь - Сентябрь 2023 г</v>
      </c>
      <c r="L24" s="143"/>
      <c r="M24" s="136" t="str">
        <f xml:space="preserve"> "Факт Январь - " &amp;$R2&amp; " 2024 г"</f>
        <v>Факт Январь - Сентябрь 2024 г</v>
      </c>
      <c r="N24" s="143"/>
      <c r="O24" s="136" t="s">
        <v>251</v>
      </c>
      <c r="P24" s="159"/>
      <c r="Q24" s="159"/>
      <c r="R24" s="143"/>
    </row>
    <row r="25" spans="1:18">
      <c r="A25" s="150"/>
      <c r="B25" s="152"/>
      <c r="C25" s="160" t="str">
        <f>"Факт " &amp;$R2 &amp; " 2023 г"</f>
        <v>Факт Сентябрь 2023 г</v>
      </c>
      <c r="D25" s="161"/>
      <c r="E25" s="162" t="str">
        <f>"Факт " &amp;$R2 &amp; " 2024 г"</f>
        <v>Факт Сентябрь 2024 г</v>
      </c>
      <c r="F25" s="163"/>
      <c r="G25" s="164" t="s">
        <v>140</v>
      </c>
      <c r="H25" s="165"/>
      <c r="I25" s="160" t="s">
        <v>4</v>
      </c>
      <c r="J25" s="161"/>
      <c r="K25" s="164" t="s">
        <v>140</v>
      </c>
      <c r="L25" s="165"/>
      <c r="M25" s="164" t="s">
        <v>140</v>
      </c>
      <c r="N25" s="165"/>
      <c r="O25" s="164" t="s">
        <v>140</v>
      </c>
      <c r="P25" s="165"/>
      <c r="Q25" s="160" t="s">
        <v>4</v>
      </c>
      <c r="R25" s="161"/>
    </row>
    <row r="26" spans="1:18">
      <c r="A26" s="151"/>
      <c r="B26" s="153"/>
      <c r="C26" s="17" t="s">
        <v>25</v>
      </c>
      <c r="D26" s="18" t="s">
        <v>138</v>
      </c>
      <c r="E26" s="18" t="s">
        <v>25</v>
      </c>
      <c r="F26" s="18" t="s">
        <v>138</v>
      </c>
      <c r="G26" s="18" t="s">
        <v>25</v>
      </c>
      <c r="H26" s="17" t="s">
        <v>138</v>
      </c>
      <c r="I26" s="17" t="s">
        <v>25</v>
      </c>
      <c r="J26" s="17" t="s">
        <v>138</v>
      </c>
      <c r="K26" s="18" t="s">
        <v>25</v>
      </c>
      <c r="L26" s="17" t="s">
        <v>138</v>
      </c>
      <c r="M26" s="18" t="s">
        <v>25</v>
      </c>
      <c r="N26" s="17" t="s">
        <v>138</v>
      </c>
      <c r="O26" s="18" t="s">
        <v>25</v>
      </c>
      <c r="P26" s="17" t="s">
        <v>138</v>
      </c>
      <c r="Q26" s="17" t="s">
        <v>25</v>
      </c>
      <c r="R26" s="17" t="s">
        <v>138</v>
      </c>
    </row>
    <row r="27" spans="1:18">
      <c r="A27" s="18" t="s">
        <v>1</v>
      </c>
      <c r="B27" s="12" t="s">
        <v>12</v>
      </c>
      <c r="C27" s="17">
        <v>33</v>
      </c>
      <c r="D27" s="18">
        <v>34</v>
      </c>
      <c r="E27" s="17">
        <v>35</v>
      </c>
      <c r="F27" s="18">
        <v>36</v>
      </c>
      <c r="G27" s="17">
        <v>37</v>
      </c>
      <c r="H27" s="18">
        <v>38</v>
      </c>
      <c r="I27" s="17">
        <v>39</v>
      </c>
      <c r="J27" s="18">
        <v>40</v>
      </c>
      <c r="K27" s="17">
        <v>41</v>
      </c>
      <c r="L27" s="18">
        <v>42</v>
      </c>
      <c r="M27" s="17">
        <v>43</v>
      </c>
      <c r="N27" s="18">
        <v>44</v>
      </c>
      <c r="O27" s="17">
        <v>45</v>
      </c>
      <c r="P27" s="18">
        <v>46</v>
      </c>
      <c r="Q27" s="17">
        <v>47</v>
      </c>
      <c r="R27" s="18">
        <v>48</v>
      </c>
    </row>
    <row r="28" spans="1:18" ht="24.95" customHeight="1">
      <c r="A28" s="18">
        <v>1</v>
      </c>
      <c r="B28" s="29" t="s">
        <v>26</v>
      </c>
      <c r="C28" s="43"/>
      <c r="D28" s="43"/>
      <c r="E28" s="43"/>
      <c r="F28" s="43"/>
      <c r="G28" s="19" t="str">
        <f>IF(AND(C28=0,E28=0),"",IFERROR(IF(OR(E28=0,E28=""),-C28,E28-C28),""))</f>
        <v/>
      </c>
      <c r="H28" s="19" t="str">
        <f>IF(AND(D28=0,F28=0),"",IFERROR(IF(OR(F28=0,F28=""),-D28,F28-D28),""))</f>
        <v/>
      </c>
      <c r="I28" s="42" t="str">
        <f>IF(AND(E28=0,C28=0),"",IFERROR(IF(C28=0, E28, E28/C28),""))</f>
        <v/>
      </c>
      <c r="J28" s="42" t="str">
        <f>IF(AND(F28=0,D28=0),"",IFERROR(IF(D28=0, F28, F28/D28),""))</f>
        <v/>
      </c>
      <c r="K28" s="41"/>
      <c r="L28" s="41"/>
      <c r="M28" s="41">
        <v>25</v>
      </c>
      <c r="N28" s="41"/>
      <c r="O28" s="19">
        <f>IF(AND(K28=0,M28=0),"",IFERROR(IF(OR(M28=0,M28=""),-K28,M28-K28),""))</f>
        <v>25</v>
      </c>
      <c r="P28" s="19" t="str">
        <f>IF(AND(L28=0,N28=0),"",IFERROR(IF(OR(N28=0,N28=""),-L28,N28-L28),""))</f>
        <v/>
      </c>
      <c r="Q28" s="42">
        <f>IF(AND(M28=0,K28=0),"",IFERROR(IF(K28=0, M28, M28/K28),""))</f>
        <v>25</v>
      </c>
      <c r="R28" s="42" t="str">
        <f>IF(AND(N28=0,L28=0),"",IFERROR(IF(L28=0, N28, N28/L28),""))</f>
        <v/>
      </c>
    </row>
    <row r="29" spans="1:18" ht="24.95" customHeight="1">
      <c r="A29" s="18">
        <v>2</v>
      </c>
      <c r="B29" s="29" t="s">
        <v>168</v>
      </c>
      <c r="C29" s="41"/>
      <c r="D29" s="41"/>
      <c r="E29" s="41"/>
      <c r="F29" s="41"/>
      <c r="G29" s="19" t="str">
        <f t="shared" ref="G29:G30" si="19">IF(AND(C29=0,E29=0),"",IFERROR(IF(OR(E29=0,E29=""),-C29,E29-C29),""))</f>
        <v/>
      </c>
      <c r="H29" s="19" t="str">
        <f t="shared" ref="H29:H30" si="20">IF(AND(D29=0,F29=0),"",IFERROR(IF(OR(F29=0,F29=""),-D29,F29-D29),""))</f>
        <v/>
      </c>
      <c r="I29" s="42" t="str">
        <f t="shared" ref="I29:I31" si="21">IF(AND(E29=0,C29=0),"",IFERROR(IF(C29=0, E29, E29/C29),""))</f>
        <v/>
      </c>
      <c r="J29" s="42" t="str">
        <f t="shared" ref="J29:J31" si="22">IF(AND(F29=0,D29=0),"",IFERROR(IF(D29=0, F29, F29/D29),""))</f>
        <v/>
      </c>
      <c r="K29" s="41"/>
      <c r="L29" s="41"/>
      <c r="M29" s="41"/>
      <c r="N29" s="41"/>
      <c r="O29" s="19" t="str">
        <f t="shared" ref="O29:O30" si="23">IF(AND(K29=0,M29=0),"",IFERROR(IF(OR(M29=0,M29=""),-K29,M29-K29),""))</f>
        <v/>
      </c>
      <c r="P29" s="19" t="str">
        <f t="shared" ref="P29:P30" si="24">IF(AND(L29=0,N29=0),"",IFERROR(IF(OR(N29=0,N29=""),-L29,N29-L29),""))</f>
        <v/>
      </c>
      <c r="Q29" s="42" t="str">
        <f t="shared" ref="Q29:Q31" si="25">IF(AND(M29=0,K29=0),"",IFERROR(IF(K29=0, M29, M29/K29),""))</f>
        <v/>
      </c>
      <c r="R29" s="42" t="str">
        <f t="shared" ref="R29:R31" si="26">IF(AND(N29=0,L29=0),"",IFERROR(IF(L29=0, N29, N29/L29),""))</f>
        <v/>
      </c>
    </row>
    <row r="30" spans="1:18" ht="24.95" customHeight="1">
      <c r="A30" s="18">
        <v>3</v>
      </c>
      <c r="B30" s="29" t="s">
        <v>27</v>
      </c>
      <c r="C30" s="41"/>
      <c r="D30" s="41"/>
      <c r="E30" s="41"/>
      <c r="F30" s="41"/>
      <c r="G30" s="19" t="str">
        <f t="shared" si="19"/>
        <v/>
      </c>
      <c r="H30" s="19" t="str">
        <f t="shared" si="20"/>
        <v/>
      </c>
      <c r="I30" s="42" t="str">
        <f t="shared" si="21"/>
        <v/>
      </c>
      <c r="J30" s="42" t="str">
        <f t="shared" si="22"/>
        <v/>
      </c>
      <c r="K30" s="41"/>
      <c r="L30" s="41"/>
      <c r="M30" s="41">
        <v>1</v>
      </c>
      <c r="N30" s="41"/>
      <c r="O30" s="19">
        <f t="shared" si="23"/>
        <v>1</v>
      </c>
      <c r="P30" s="19" t="str">
        <f t="shared" si="24"/>
        <v/>
      </c>
      <c r="Q30" s="42">
        <f t="shared" si="25"/>
        <v>1</v>
      </c>
      <c r="R30" s="42" t="str">
        <f t="shared" si="26"/>
        <v/>
      </c>
    </row>
    <row r="31" spans="1:18" ht="24.95" customHeight="1">
      <c r="A31" s="18">
        <v>4</v>
      </c>
      <c r="B31" s="29" t="s">
        <v>28</v>
      </c>
      <c r="C31" s="41"/>
      <c r="D31" s="41"/>
      <c r="E31" s="41"/>
      <c r="F31" s="41"/>
      <c r="G31" s="19" t="str">
        <f>IF(AND(C31=0,E31=0),"",IFERROR(IF(OR(E31=0,E31=""),-C31,E31-C31),""))</f>
        <v/>
      </c>
      <c r="H31" s="19" t="str">
        <f>IF(AND(D31=0,F31=0),"",IFERROR(IF(OR(F31=0,F31=""),-D31,F31-D31),""))</f>
        <v/>
      </c>
      <c r="I31" s="42" t="str">
        <f t="shared" si="21"/>
        <v/>
      </c>
      <c r="J31" s="42" t="str">
        <f t="shared" si="22"/>
        <v/>
      </c>
      <c r="K31" s="41"/>
      <c r="L31" s="41"/>
      <c r="M31" s="41"/>
      <c r="N31" s="41"/>
      <c r="O31" s="19" t="str">
        <f>IF(AND(K31=0,M31=0),"",IFERROR(IF(OR(M31=0,M31=""),-K31,M31-K31),""))</f>
        <v/>
      </c>
      <c r="P31" s="19" t="str">
        <f>IF(AND(L31=0,N31=0),"",IFERROR(IF(OR(N31=0,N31=""),-L31,N31-L31),""))</f>
        <v/>
      </c>
      <c r="Q31" s="42" t="str">
        <f t="shared" si="25"/>
        <v/>
      </c>
      <c r="R31" s="42" t="str">
        <f t="shared" si="26"/>
        <v/>
      </c>
    </row>
    <row r="32" spans="1:18">
      <c r="A32" s="156" t="s">
        <v>245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</row>
    <row r="33" spans="1:18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</row>
    <row r="34" spans="1:18" ht="50.1" customHeight="1">
      <c r="A34" s="18"/>
      <c r="B34" s="66" t="s">
        <v>145</v>
      </c>
      <c r="C34" s="136"/>
      <c r="D34" s="159"/>
      <c r="E34" s="159"/>
      <c r="F34" s="143"/>
      <c r="G34" s="136" t="s">
        <v>256</v>
      </c>
      <c r="H34" s="159"/>
      <c r="I34" s="159"/>
      <c r="J34" s="143"/>
      <c r="K34" s="136" t="str">
        <f xml:space="preserve"> "Факт Январь - " &amp;$R2&amp; " 2023 г"</f>
        <v>Факт Январь - Сентябрь 2023 г</v>
      </c>
      <c r="L34" s="143"/>
      <c r="M34" s="136" t="str">
        <f xml:space="preserve"> "Факт Январь - " &amp;$R2&amp; " 2024 г"</f>
        <v>Факт Январь - Сентябрь 2024 г</v>
      </c>
      <c r="N34" s="143"/>
      <c r="O34" s="136" t="s">
        <v>251</v>
      </c>
      <c r="P34" s="159"/>
      <c r="Q34" s="159"/>
      <c r="R34" s="143"/>
    </row>
    <row r="35" spans="1:18">
      <c r="A35" s="150"/>
      <c r="B35" s="152"/>
      <c r="C35" s="160" t="str">
        <f>"Факт " &amp;$R2 &amp; " 2023 г"</f>
        <v>Факт Сентябрь 2023 г</v>
      </c>
      <c r="D35" s="161"/>
      <c r="E35" s="162" t="str">
        <f>"Факт " &amp;$R2 &amp; " 2024 г"</f>
        <v>Факт Сентябрь 2024 г</v>
      </c>
      <c r="F35" s="163"/>
      <c r="G35" s="164" t="s">
        <v>140</v>
      </c>
      <c r="H35" s="165"/>
      <c r="I35" s="160" t="s">
        <v>4</v>
      </c>
      <c r="J35" s="161"/>
      <c r="K35" s="164" t="s">
        <v>140</v>
      </c>
      <c r="L35" s="165"/>
      <c r="M35" s="164" t="s">
        <v>140</v>
      </c>
      <c r="N35" s="165"/>
      <c r="O35" s="164" t="s">
        <v>140</v>
      </c>
      <c r="P35" s="165"/>
      <c r="Q35" s="160" t="s">
        <v>4</v>
      </c>
      <c r="R35" s="161"/>
    </row>
    <row r="36" spans="1:18">
      <c r="A36" s="151"/>
      <c r="B36" s="153"/>
      <c r="C36" s="17" t="s">
        <v>25</v>
      </c>
      <c r="D36" s="18" t="s">
        <v>138</v>
      </c>
      <c r="E36" s="18" t="s">
        <v>25</v>
      </c>
      <c r="F36" s="18" t="s">
        <v>138</v>
      </c>
      <c r="G36" s="18" t="s">
        <v>25</v>
      </c>
      <c r="H36" s="17" t="s">
        <v>138</v>
      </c>
      <c r="I36" s="17" t="s">
        <v>25</v>
      </c>
      <c r="J36" s="17" t="s">
        <v>138</v>
      </c>
      <c r="K36" s="18" t="s">
        <v>25</v>
      </c>
      <c r="L36" s="17" t="s">
        <v>138</v>
      </c>
      <c r="M36" s="18" t="s">
        <v>25</v>
      </c>
      <c r="N36" s="17" t="s">
        <v>138</v>
      </c>
      <c r="O36" s="18" t="s">
        <v>25</v>
      </c>
      <c r="P36" s="17" t="s">
        <v>138</v>
      </c>
      <c r="Q36" s="17" t="s">
        <v>25</v>
      </c>
      <c r="R36" s="17" t="s">
        <v>138</v>
      </c>
    </row>
    <row r="37" spans="1:18">
      <c r="A37" s="18" t="s">
        <v>1</v>
      </c>
      <c r="B37" s="12" t="s">
        <v>12</v>
      </c>
      <c r="C37" s="17">
        <v>49</v>
      </c>
      <c r="D37" s="18">
        <v>50</v>
      </c>
      <c r="E37" s="17">
        <v>51</v>
      </c>
      <c r="F37" s="18">
        <v>52</v>
      </c>
      <c r="G37" s="17">
        <v>53</v>
      </c>
      <c r="H37" s="18">
        <v>54</v>
      </c>
      <c r="I37" s="17">
        <v>55</v>
      </c>
      <c r="J37" s="18">
        <v>56</v>
      </c>
      <c r="K37" s="17">
        <v>57</v>
      </c>
      <c r="L37" s="18">
        <v>58</v>
      </c>
      <c r="M37" s="17">
        <v>59</v>
      </c>
      <c r="N37" s="18">
        <v>60</v>
      </c>
      <c r="O37" s="17">
        <v>61</v>
      </c>
      <c r="P37" s="18">
        <v>62</v>
      </c>
      <c r="Q37" s="17">
        <v>63</v>
      </c>
      <c r="R37" s="18">
        <v>64</v>
      </c>
    </row>
    <row r="38" spans="1:18" ht="24.95" customHeight="1">
      <c r="A38" s="18">
        <v>1</v>
      </c>
      <c r="B38" s="29" t="s">
        <v>26</v>
      </c>
      <c r="C38" s="41"/>
      <c r="D38" s="41"/>
      <c r="E38" s="41"/>
      <c r="F38" s="41"/>
      <c r="G38" s="19" t="str">
        <f>IF(AND(C38=0,E38=0),"",IFERROR(IF(OR(E38=0,E38=""),-C38,E38-C38),""))</f>
        <v/>
      </c>
      <c r="H38" s="19" t="str">
        <f>IF(AND(D38=0,F38=0),"",IFERROR(IF(OR(F38=0,F38=""),-D38,F38-D38),""))</f>
        <v/>
      </c>
      <c r="I38" s="42" t="str">
        <f>IF(AND(E38=0,C38=0),"",IFERROR(IF(C38=0, E38, E38/C38),""))</f>
        <v/>
      </c>
      <c r="J38" s="42" t="str">
        <f>IF(AND(F38=0,D38=0),"",IFERROR(IF(D38=0, F38, F38/D38),""))</f>
        <v/>
      </c>
      <c r="K38" s="41"/>
      <c r="L38" s="41"/>
      <c r="M38" s="41">
        <v>7</v>
      </c>
      <c r="N38" s="41"/>
      <c r="O38" s="19">
        <f>IF(AND(K38=0,M38=0),"",IFERROR(IF(OR(M38=0,M38=""),-K38,M38-K38),""))</f>
        <v>7</v>
      </c>
      <c r="P38" s="19" t="str">
        <f>IF(AND(L38=0,N38=0),"",IFERROR(IF(OR(N38=0,N38=""),-L38,N38-L38),""))</f>
        <v/>
      </c>
      <c r="Q38" s="42">
        <f>IF(AND(M38=0,K38=0),"",IFERROR(IF(K38=0, M38, M38/K38),""))</f>
        <v>7</v>
      </c>
      <c r="R38" s="42" t="str">
        <f>IF(AND(N38=0,L38=0),"",IFERROR(IF(L38=0, N38, N38/L38),""))</f>
        <v/>
      </c>
    </row>
    <row r="39" spans="1:18" ht="24.95" customHeight="1">
      <c r="A39" s="18">
        <v>2</v>
      </c>
      <c r="B39" s="29" t="s">
        <v>168</v>
      </c>
      <c r="C39" s="41"/>
      <c r="D39" s="41"/>
      <c r="E39" s="41"/>
      <c r="F39" s="41"/>
      <c r="G39" s="19" t="str">
        <f t="shared" ref="G39:G40" si="27">IF(AND(C39=0,E39=0),"",IFERROR(IF(OR(E39=0,E39=""),-C39,E39-C39),""))</f>
        <v/>
      </c>
      <c r="H39" s="19" t="str">
        <f t="shared" ref="H39:H40" si="28">IF(AND(D39=0,F39=0),"",IFERROR(IF(OR(F39=0,F39=""),-D39,F39-D39),""))</f>
        <v/>
      </c>
      <c r="I39" s="42" t="str">
        <f t="shared" ref="I39:I41" si="29">IF(AND(E39=0,C39=0),"",IFERROR(IF(C39=0, E39, E39/C39),""))</f>
        <v/>
      </c>
      <c r="J39" s="42" t="str">
        <f t="shared" ref="J39:J41" si="30">IF(AND(F39=0,D39=0),"",IFERROR(IF(D39=0, F39, F39/D39),""))</f>
        <v/>
      </c>
      <c r="K39" s="41"/>
      <c r="L39" s="41"/>
      <c r="M39" s="41"/>
      <c r="N39" s="41"/>
      <c r="O39" s="19" t="str">
        <f t="shared" ref="O39:O40" si="31">IF(AND(K39=0,M39=0),"",IFERROR(IF(OR(M39=0,M39=""),-K39,M39-K39),""))</f>
        <v/>
      </c>
      <c r="P39" s="19" t="str">
        <f t="shared" ref="P39:P40" si="32">IF(AND(L39=0,N39=0),"",IFERROR(IF(OR(N39=0,N39=""),-L39,N39-L39),""))</f>
        <v/>
      </c>
      <c r="Q39" s="42" t="str">
        <f t="shared" ref="Q39:Q41" si="33">IF(AND(M39=0,K39=0),"",IFERROR(IF(K39=0, M39, M39/K39),""))</f>
        <v/>
      </c>
      <c r="R39" s="42" t="str">
        <f t="shared" ref="R39:R41" si="34">IF(AND(N39=0,L39=0),"",IFERROR(IF(L39=0, N39, N39/L39),""))</f>
        <v/>
      </c>
    </row>
    <row r="40" spans="1:18" ht="24.95" customHeight="1">
      <c r="A40" s="18">
        <v>3</v>
      </c>
      <c r="B40" s="29" t="s">
        <v>27</v>
      </c>
      <c r="C40" s="41"/>
      <c r="D40" s="41"/>
      <c r="E40" s="41"/>
      <c r="F40" s="41"/>
      <c r="G40" s="19" t="str">
        <f t="shared" si="27"/>
        <v/>
      </c>
      <c r="H40" s="19" t="str">
        <f t="shared" si="28"/>
        <v/>
      </c>
      <c r="I40" s="42" t="str">
        <f t="shared" si="29"/>
        <v/>
      </c>
      <c r="J40" s="42" t="str">
        <f t="shared" si="30"/>
        <v/>
      </c>
      <c r="K40" s="41"/>
      <c r="L40" s="41"/>
      <c r="M40" s="41">
        <v>2</v>
      </c>
      <c r="N40" s="41"/>
      <c r="O40" s="19">
        <f t="shared" si="31"/>
        <v>2</v>
      </c>
      <c r="P40" s="19" t="str">
        <f t="shared" si="32"/>
        <v/>
      </c>
      <c r="Q40" s="42">
        <f t="shared" si="33"/>
        <v>2</v>
      </c>
      <c r="R40" s="42" t="str">
        <f t="shared" si="34"/>
        <v/>
      </c>
    </row>
    <row r="41" spans="1:18" ht="24.95" customHeight="1">
      <c r="A41" s="18">
        <v>4</v>
      </c>
      <c r="B41" s="29" t="s">
        <v>28</v>
      </c>
      <c r="C41" s="41"/>
      <c r="D41" s="41"/>
      <c r="E41" s="41"/>
      <c r="F41" s="41"/>
      <c r="G41" s="19" t="str">
        <f>IF(AND(C41=0,E41=0),"",IFERROR(IF(OR(E41=0,E41=""),-C41,E41-C41),""))</f>
        <v/>
      </c>
      <c r="H41" s="19" t="str">
        <f>IF(AND(D41=0,F41=0),"",IFERROR(IF(OR(F41=0,F41=""),-D41,F41-D41),""))</f>
        <v/>
      </c>
      <c r="I41" s="42" t="str">
        <f t="shared" si="29"/>
        <v/>
      </c>
      <c r="J41" s="42" t="str">
        <f t="shared" si="30"/>
        <v/>
      </c>
      <c r="K41" s="41"/>
      <c r="L41" s="41"/>
      <c r="M41" s="41"/>
      <c r="N41" s="41"/>
      <c r="O41" s="19" t="str">
        <f>IF(AND(K41=0,M41=0),"",IFERROR(IF(OR(M41=0,M41=""),-K41,M41-K41),""))</f>
        <v/>
      </c>
      <c r="P41" s="19" t="str">
        <f>IF(AND(L41=0,N41=0),"",IFERROR(IF(OR(N41=0,N41=""),-L41,N41-L41),""))</f>
        <v/>
      </c>
      <c r="Q41" s="42" t="str">
        <f t="shared" si="33"/>
        <v/>
      </c>
      <c r="R41" s="42" t="str">
        <f t="shared" si="34"/>
        <v/>
      </c>
    </row>
    <row r="42" spans="1:18">
      <c r="A42" s="156" t="s">
        <v>246</v>
      </c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</row>
    <row r="43" spans="1:18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</row>
    <row r="44" spans="1:18" ht="50.1" customHeight="1">
      <c r="A44" s="18"/>
      <c r="B44" s="66" t="s">
        <v>145</v>
      </c>
      <c r="C44" s="136"/>
      <c r="D44" s="159"/>
      <c r="E44" s="159"/>
      <c r="F44" s="143"/>
      <c r="G44" s="136" t="s">
        <v>251</v>
      </c>
      <c r="H44" s="159"/>
      <c r="I44" s="159"/>
      <c r="J44" s="143"/>
      <c r="K44" s="136" t="str">
        <f xml:space="preserve"> "Факт Январь - " &amp;$R2&amp; " 2023 г"</f>
        <v>Факт Январь - Сентябрь 2023 г</v>
      </c>
      <c r="L44" s="143"/>
      <c r="M44" s="136" t="str">
        <f xml:space="preserve"> "Факт Январь - " &amp;$R2&amp; " 2024 г"</f>
        <v>Факт Январь - Сентябрь 2024 г</v>
      </c>
      <c r="N44" s="143"/>
      <c r="O44" s="136" t="s">
        <v>251</v>
      </c>
      <c r="P44" s="159"/>
      <c r="Q44" s="159"/>
      <c r="R44" s="143"/>
    </row>
    <row r="45" spans="1:18">
      <c r="A45" s="150"/>
      <c r="B45" s="152"/>
      <c r="C45" s="160" t="str">
        <f>"Факт " &amp;$R2 &amp; " 2023 г"</f>
        <v>Факт Сентябрь 2023 г</v>
      </c>
      <c r="D45" s="161"/>
      <c r="E45" s="162" t="str">
        <f>"Факт " &amp;$R2 &amp; " 2024 г"</f>
        <v>Факт Сентябрь 2024 г</v>
      </c>
      <c r="F45" s="163"/>
      <c r="G45" s="164" t="s">
        <v>140</v>
      </c>
      <c r="H45" s="165"/>
      <c r="I45" s="160" t="s">
        <v>4</v>
      </c>
      <c r="J45" s="161"/>
      <c r="K45" s="164" t="s">
        <v>140</v>
      </c>
      <c r="L45" s="165"/>
      <c r="M45" s="164" t="s">
        <v>140</v>
      </c>
      <c r="N45" s="165"/>
      <c r="O45" s="164" t="s">
        <v>140</v>
      </c>
      <c r="P45" s="165"/>
      <c r="Q45" s="160" t="s">
        <v>4</v>
      </c>
      <c r="R45" s="161"/>
    </row>
    <row r="46" spans="1:18">
      <c r="A46" s="151"/>
      <c r="B46" s="153"/>
      <c r="C46" s="17" t="s">
        <v>25</v>
      </c>
      <c r="D46" s="18" t="s">
        <v>138</v>
      </c>
      <c r="E46" s="18" t="s">
        <v>25</v>
      </c>
      <c r="F46" s="18" t="s">
        <v>138</v>
      </c>
      <c r="G46" s="18" t="s">
        <v>25</v>
      </c>
      <c r="H46" s="17" t="s">
        <v>138</v>
      </c>
      <c r="I46" s="17" t="s">
        <v>25</v>
      </c>
      <c r="J46" s="17" t="s">
        <v>138</v>
      </c>
      <c r="K46" s="18" t="s">
        <v>25</v>
      </c>
      <c r="L46" s="17" t="s">
        <v>138</v>
      </c>
      <c r="M46" s="18" t="s">
        <v>25</v>
      </c>
      <c r="N46" s="17" t="s">
        <v>138</v>
      </c>
      <c r="O46" s="18" t="s">
        <v>25</v>
      </c>
      <c r="P46" s="17" t="s">
        <v>138</v>
      </c>
      <c r="Q46" s="17" t="s">
        <v>25</v>
      </c>
      <c r="R46" s="17" t="s">
        <v>138</v>
      </c>
    </row>
    <row r="47" spans="1:18">
      <c r="A47" s="18" t="s">
        <v>1</v>
      </c>
      <c r="B47" s="12" t="s">
        <v>12</v>
      </c>
      <c r="C47" s="17">
        <v>65</v>
      </c>
      <c r="D47" s="18">
        <v>66</v>
      </c>
      <c r="E47" s="17">
        <v>67</v>
      </c>
      <c r="F47" s="18">
        <v>68</v>
      </c>
      <c r="G47" s="17">
        <v>69</v>
      </c>
      <c r="H47" s="18">
        <v>70</v>
      </c>
      <c r="I47" s="17">
        <v>71</v>
      </c>
      <c r="J47" s="18">
        <v>72</v>
      </c>
      <c r="K47" s="17">
        <v>73</v>
      </c>
      <c r="L47" s="18">
        <v>74</v>
      </c>
      <c r="M47" s="17">
        <v>75</v>
      </c>
      <c r="N47" s="18">
        <v>76</v>
      </c>
      <c r="O47" s="17">
        <v>77</v>
      </c>
      <c r="P47" s="18">
        <v>78</v>
      </c>
      <c r="Q47" s="17">
        <v>79</v>
      </c>
      <c r="R47" s="18">
        <v>80</v>
      </c>
    </row>
    <row r="48" spans="1:18" ht="24.95" customHeight="1">
      <c r="A48" s="18">
        <v>1</v>
      </c>
      <c r="B48" s="29" t="s">
        <v>26</v>
      </c>
      <c r="C48" s="41"/>
      <c r="D48" s="41"/>
      <c r="E48" s="41"/>
      <c r="F48" s="41"/>
      <c r="G48" s="19" t="str">
        <f>IF(AND(C48=0,E48=0),"",IFERROR(IF(OR(E48=0,E48=""),-C48,E48-C48),""))</f>
        <v/>
      </c>
      <c r="H48" s="19" t="str">
        <f>IF(AND(D48=0,F48=0),"",IFERROR(IF(OR(F48=0,F48=""),-D48,F48-D48),""))</f>
        <v/>
      </c>
      <c r="I48" s="42" t="str">
        <f>IF(AND(E48=0,C48=0),"",IFERROR(IF(C48=0, E48, E48/C48),""))</f>
        <v/>
      </c>
      <c r="J48" s="42" t="str">
        <f>IF(AND(F48=0,D48=0),"",IFERROR(IF(D48=0, F48, F48/D48),""))</f>
        <v/>
      </c>
      <c r="K48" s="41"/>
      <c r="L48" s="41">
        <v>5</v>
      </c>
      <c r="M48" s="41">
        <v>16</v>
      </c>
      <c r="N48" s="41"/>
      <c r="O48" s="19">
        <f>IF(AND(K48=0,M48=0),"",IFERROR(IF(OR(M48=0,M48=""),-K48,M48-K48),""))</f>
        <v>16</v>
      </c>
      <c r="P48" s="19">
        <f>IF(AND(L48=0,N48=0),"",IFERROR(IF(OR(N48=0,N48=""),-L48,N48-L48),""))</f>
        <v>-5</v>
      </c>
      <c r="Q48" s="42">
        <f>IF(AND(M48=0,K48=0),"",IFERROR(IF(K48=0, M48, M48/K48),""))</f>
        <v>16</v>
      </c>
      <c r="R48" s="42">
        <f>IF(AND(N48=0,L48=0),"",IFERROR(IF(L48=0, N48, N48/L48),""))</f>
        <v>0</v>
      </c>
    </row>
    <row r="49" spans="1:18" ht="24.95" customHeight="1">
      <c r="A49" s="18">
        <v>2</v>
      </c>
      <c r="B49" s="29" t="s">
        <v>168</v>
      </c>
      <c r="C49" s="41"/>
      <c r="D49" s="41"/>
      <c r="E49" s="41"/>
      <c r="F49" s="41"/>
      <c r="G49" s="19" t="str">
        <f t="shared" ref="G49:G50" si="35">IF(AND(C49=0,E49=0),"",IFERROR(IF(OR(E49=0,E49=""),-C49,E49-C49),""))</f>
        <v/>
      </c>
      <c r="H49" s="19" t="str">
        <f t="shared" ref="H49:H50" si="36">IF(AND(D49=0,F49=0),"",IFERROR(IF(OR(F49=0,F49=""),-D49,F49-D49),""))</f>
        <v/>
      </c>
      <c r="I49" s="42" t="str">
        <f t="shared" ref="I49:I51" si="37">IF(AND(E49=0,C49=0),"",IFERROR(IF(C49=0, E49, E49/C49),""))</f>
        <v/>
      </c>
      <c r="J49" s="42" t="str">
        <f t="shared" ref="J49:J51" si="38">IF(AND(F49=0,D49=0),"",IFERROR(IF(D49=0, F49, F49/D49),""))</f>
        <v/>
      </c>
      <c r="K49" s="41"/>
      <c r="L49" s="41"/>
      <c r="M49" s="41"/>
      <c r="N49" s="41"/>
      <c r="O49" s="19" t="str">
        <f t="shared" ref="O49:O50" si="39">IF(AND(K49=0,M49=0),"",IFERROR(IF(OR(M49=0,M49=""),-K49,M49-K49),""))</f>
        <v/>
      </c>
      <c r="P49" s="19" t="str">
        <f t="shared" ref="P49:P50" si="40">IF(AND(L49=0,N49=0),"",IFERROR(IF(OR(N49=0,N49=""),-L49,N49-L49),""))</f>
        <v/>
      </c>
      <c r="Q49" s="42" t="str">
        <f t="shared" ref="Q49:Q51" si="41">IF(AND(M49=0,K49=0),"",IFERROR(IF(K49=0, M49, M49/K49),""))</f>
        <v/>
      </c>
      <c r="R49" s="42" t="str">
        <f t="shared" ref="R49:R51" si="42">IF(AND(N49=0,L49=0),"",IFERROR(IF(L49=0, N49, N49/L49),""))</f>
        <v/>
      </c>
    </row>
    <row r="50" spans="1:18" ht="24.95" customHeight="1">
      <c r="A50" s="18">
        <v>3</v>
      </c>
      <c r="B50" s="29" t="s">
        <v>27</v>
      </c>
      <c r="C50" s="41"/>
      <c r="D50" s="41"/>
      <c r="E50" s="41"/>
      <c r="F50" s="41"/>
      <c r="G50" s="19" t="str">
        <f t="shared" si="35"/>
        <v/>
      </c>
      <c r="H50" s="19" t="str">
        <f t="shared" si="36"/>
        <v/>
      </c>
      <c r="I50" s="42" t="str">
        <f t="shared" si="37"/>
        <v/>
      </c>
      <c r="J50" s="42" t="str">
        <f t="shared" si="38"/>
        <v/>
      </c>
      <c r="K50" s="41"/>
      <c r="L50" s="41"/>
      <c r="M50" s="41"/>
      <c r="N50" s="41"/>
      <c r="O50" s="19" t="str">
        <f t="shared" si="39"/>
        <v/>
      </c>
      <c r="P50" s="19" t="str">
        <f t="shared" si="40"/>
        <v/>
      </c>
      <c r="Q50" s="42" t="str">
        <f t="shared" si="41"/>
        <v/>
      </c>
      <c r="R50" s="42" t="str">
        <f t="shared" si="42"/>
        <v/>
      </c>
    </row>
    <row r="51" spans="1:18" ht="24.95" customHeight="1">
      <c r="A51" s="18">
        <v>4</v>
      </c>
      <c r="B51" s="29" t="s">
        <v>28</v>
      </c>
      <c r="C51" s="41"/>
      <c r="D51" s="41"/>
      <c r="E51" s="41"/>
      <c r="F51" s="41"/>
      <c r="G51" s="19" t="str">
        <f>IF(AND(C51=0,E51=0),"",IFERROR(IF(OR(E51=0,E51=""),-C51,E51-C51),""))</f>
        <v/>
      </c>
      <c r="H51" s="19" t="str">
        <f>IF(AND(D51=0,F51=0),"",IFERROR(IF(OR(F51=0,F51=""),-D51,F51-D51),""))</f>
        <v/>
      </c>
      <c r="I51" s="42" t="str">
        <f t="shared" si="37"/>
        <v/>
      </c>
      <c r="J51" s="42" t="str">
        <f t="shared" si="38"/>
        <v/>
      </c>
      <c r="K51" s="41"/>
      <c r="L51" s="41"/>
      <c r="M51" s="41"/>
      <c r="N51" s="41"/>
      <c r="O51" s="19" t="str">
        <f>IF(AND(K51=0,M51=0),"",IFERROR(IF(OR(M51=0,M51=""),-K51,M51-K51),""))</f>
        <v/>
      </c>
      <c r="P51" s="19" t="str">
        <f>IF(AND(L51=0,N51=0),"",IFERROR(IF(OR(N51=0,N51=""),-L51,N51-L51),""))</f>
        <v/>
      </c>
      <c r="Q51" s="42" t="str">
        <f t="shared" si="41"/>
        <v/>
      </c>
      <c r="R51" s="42" t="str">
        <f t="shared" si="42"/>
        <v/>
      </c>
    </row>
    <row r="52" spans="1:18">
      <c r="A52" s="157" t="s">
        <v>247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</row>
    <row r="53" spans="1:18">
      <c r="A53" s="158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</row>
    <row r="54" spans="1:18" ht="50.1" customHeight="1">
      <c r="A54" s="18"/>
      <c r="B54" s="66" t="s">
        <v>145</v>
      </c>
      <c r="C54" s="136"/>
      <c r="D54" s="159"/>
      <c r="E54" s="159"/>
      <c r="F54" s="143"/>
      <c r="G54" s="136" t="s">
        <v>251</v>
      </c>
      <c r="H54" s="159"/>
      <c r="I54" s="159"/>
      <c r="J54" s="143"/>
      <c r="K54" s="136" t="str">
        <f xml:space="preserve"> "Факт Январь - " &amp;$R2&amp; " 2023 г"</f>
        <v>Факт Январь - Сентябрь 2023 г</v>
      </c>
      <c r="L54" s="143"/>
      <c r="M54" s="136" t="str">
        <f xml:space="preserve"> "Факт Январь - " &amp;$R2&amp; " 2024 г"</f>
        <v>Факт Январь - Сентябрь 2024 г</v>
      </c>
      <c r="N54" s="143"/>
      <c r="O54" s="136" t="s">
        <v>250</v>
      </c>
      <c r="P54" s="159"/>
      <c r="Q54" s="159"/>
      <c r="R54" s="143"/>
    </row>
    <row r="55" spans="1:18">
      <c r="A55" s="150"/>
      <c r="B55" s="152"/>
      <c r="C55" s="160" t="str">
        <f>"Факт " &amp;$R2 &amp; " 2023 г"</f>
        <v>Факт Сентябрь 2023 г</v>
      </c>
      <c r="D55" s="161"/>
      <c r="E55" s="162" t="str">
        <f>"Факт " &amp;$R2 &amp; " 2024 г"</f>
        <v>Факт Сентябрь 2024 г</v>
      </c>
      <c r="F55" s="163"/>
      <c r="G55" s="164" t="s">
        <v>140</v>
      </c>
      <c r="H55" s="165"/>
      <c r="I55" s="160" t="s">
        <v>4</v>
      </c>
      <c r="J55" s="161"/>
      <c r="K55" s="164" t="s">
        <v>140</v>
      </c>
      <c r="L55" s="165"/>
      <c r="M55" s="164" t="s">
        <v>140</v>
      </c>
      <c r="N55" s="165"/>
      <c r="O55" s="164" t="s">
        <v>140</v>
      </c>
      <c r="P55" s="165"/>
      <c r="Q55" s="160" t="s">
        <v>4</v>
      </c>
      <c r="R55" s="161"/>
    </row>
    <row r="56" spans="1:18">
      <c r="A56" s="151"/>
      <c r="B56" s="153"/>
      <c r="C56" s="17" t="s">
        <v>25</v>
      </c>
      <c r="D56" s="18" t="s">
        <v>138</v>
      </c>
      <c r="E56" s="18" t="s">
        <v>25</v>
      </c>
      <c r="F56" s="18" t="s">
        <v>138</v>
      </c>
      <c r="G56" s="18" t="s">
        <v>25</v>
      </c>
      <c r="H56" s="17" t="s">
        <v>138</v>
      </c>
      <c r="I56" s="17" t="s">
        <v>25</v>
      </c>
      <c r="J56" s="17" t="s">
        <v>138</v>
      </c>
      <c r="K56" s="18" t="s">
        <v>25</v>
      </c>
      <c r="L56" s="17" t="s">
        <v>138</v>
      </c>
      <c r="M56" s="18" t="s">
        <v>25</v>
      </c>
      <c r="N56" s="17" t="s">
        <v>138</v>
      </c>
      <c r="O56" s="18" t="s">
        <v>25</v>
      </c>
      <c r="P56" s="17" t="s">
        <v>138</v>
      </c>
      <c r="Q56" s="17" t="s">
        <v>25</v>
      </c>
      <c r="R56" s="17" t="s">
        <v>138</v>
      </c>
    </row>
    <row r="57" spans="1:18">
      <c r="A57" s="18" t="s">
        <v>1</v>
      </c>
      <c r="B57" s="12" t="s">
        <v>12</v>
      </c>
      <c r="C57" s="17">
        <v>81</v>
      </c>
      <c r="D57" s="18">
        <v>82</v>
      </c>
      <c r="E57" s="17">
        <v>83</v>
      </c>
      <c r="F57" s="18">
        <v>84</v>
      </c>
      <c r="G57" s="17">
        <v>85</v>
      </c>
      <c r="H57" s="18">
        <v>86</v>
      </c>
      <c r="I57" s="17">
        <v>87</v>
      </c>
      <c r="J57" s="18">
        <v>88</v>
      </c>
      <c r="K57" s="17">
        <v>89</v>
      </c>
      <c r="L57" s="18">
        <v>90</v>
      </c>
      <c r="M57" s="17">
        <v>91</v>
      </c>
      <c r="N57" s="18">
        <v>92</v>
      </c>
      <c r="O57" s="17">
        <v>93</v>
      </c>
      <c r="P57" s="18">
        <v>94</v>
      </c>
      <c r="Q57" s="17">
        <v>95</v>
      </c>
      <c r="R57" s="18">
        <v>96</v>
      </c>
    </row>
    <row r="58" spans="1:18" ht="24.95" customHeight="1">
      <c r="A58" s="18">
        <v>1</v>
      </c>
      <c r="B58" s="29" t="s">
        <v>26</v>
      </c>
      <c r="C58" s="41"/>
      <c r="D58" s="41"/>
      <c r="E58" s="41"/>
      <c r="F58" s="41"/>
      <c r="G58" s="19" t="str">
        <f>IF(AND(C58=0,E58=0),"",IFERROR(IF(OR(E58=0,E58=""),-C58,E58-C58),""))</f>
        <v/>
      </c>
      <c r="H58" s="19" t="str">
        <f>IF(AND(D58=0,F58=0),"",IFERROR(IF(OR(F58=0,F58=""),-D58,F58-D58),""))</f>
        <v/>
      </c>
      <c r="I58" s="42" t="str">
        <f>IF(AND(E58=0,C58=0),"",IFERROR(IF(C58=0, E58, E58/C58),""))</f>
        <v/>
      </c>
      <c r="J58" s="42" t="str">
        <f>IF(AND(F58=0,D58=0),"",IFERROR(IF(D58=0, F58, F58/D58),""))</f>
        <v/>
      </c>
      <c r="K58" s="41"/>
      <c r="L58" s="41"/>
      <c r="M58" s="41">
        <v>33</v>
      </c>
      <c r="N58" s="41"/>
      <c r="O58" s="19">
        <f>IF(AND(K58=0,M58=0),"",IFERROR(IF(OR(M58=0,M58=""),-K58,M58-K58),""))</f>
        <v>33</v>
      </c>
      <c r="P58" s="19" t="str">
        <f>IF(AND(L58=0,N58=0),"",IFERROR(IF(OR(N58=0,N58=""),-L58,N58-L58),""))</f>
        <v/>
      </c>
      <c r="Q58" s="42">
        <f>IF(AND(M58=0,K58=0),"",IFERROR(IF(K58=0, M58, M58/K58),""))</f>
        <v>33</v>
      </c>
      <c r="R58" s="42" t="str">
        <f>IF(AND(N58=0,L58=0),"",IFERROR(IF(L58=0, N58, N58/L58),""))</f>
        <v/>
      </c>
    </row>
    <row r="59" spans="1:18" ht="24.95" customHeight="1">
      <c r="A59" s="18">
        <v>2</v>
      </c>
      <c r="B59" s="29" t="s">
        <v>168</v>
      </c>
      <c r="C59" s="41"/>
      <c r="D59" s="41"/>
      <c r="E59" s="41"/>
      <c r="F59" s="41"/>
      <c r="G59" s="19" t="str">
        <f t="shared" ref="G59:G60" si="43">IF(AND(C59=0,E59=0),"",IFERROR(IF(OR(E59=0,E59=""),-C59,E59-C59),""))</f>
        <v/>
      </c>
      <c r="H59" s="19" t="str">
        <f t="shared" ref="H59:H60" si="44">IF(AND(D59=0,F59=0),"",IFERROR(IF(OR(F59=0,F59=""),-D59,F59-D59),""))</f>
        <v/>
      </c>
      <c r="I59" s="42" t="str">
        <f t="shared" ref="I59:I61" si="45">IF(AND(E59=0,C59=0),"",IFERROR(IF(C59=0, E59, E59/C59),""))</f>
        <v/>
      </c>
      <c r="J59" s="42" t="str">
        <f t="shared" ref="J59:J61" si="46">IF(AND(F59=0,D59=0),"",IFERROR(IF(D59=0, F59, F59/D59),""))</f>
        <v/>
      </c>
      <c r="K59" s="41"/>
      <c r="L59" s="41"/>
      <c r="M59" s="41"/>
      <c r="N59" s="41"/>
      <c r="O59" s="19" t="str">
        <f t="shared" ref="O59:O60" si="47">IF(AND(K59=0,M59=0),"",IFERROR(IF(OR(M59=0,M59=""),-K59,M59-K59),""))</f>
        <v/>
      </c>
      <c r="P59" s="19" t="str">
        <f t="shared" ref="P59:P60" si="48">IF(AND(L59=0,N59=0),"",IFERROR(IF(OR(N59=0,N59=""),-L59,N59-L59),""))</f>
        <v/>
      </c>
      <c r="Q59" s="42" t="str">
        <f t="shared" ref="Q59:Q61" si="49">IF(AND(M59=0,K59=0),"",IFERROR(IF(K59=0, M59, M59/K59),""))</f>
        <v/>
      </c>
      <c r="R59" s="42" t="str">
        <f t="shared" ref="R59:R61" si="50">IF(AND(N59=0,L59=0),"",IFERROR(IF(L59=0, N59, N59/L59),""))</f>
        <v/>
      </c>
    </row>
    <row r="60" spans="1:18" ht="24.95" customHeight="1">
      <c r="A60" s="18">
        <v>3</v>
      </c>
      <c r="B60" s="29" t="s">
        <v>27</v>
      </c>
      <c r="C60" s="41"/>
      <c r="D60" s="41"/>
      <c r="E60" s="41"/>
      <c r="F60" s="41"/>
      <c r="G60" s="19" t="str">
        <f t="shared" si="43"/>
        <v/>
      </c>
      <c r="H60" s="19" t="str">
        <f t="shared" si="44"/>
        <v/>
      </c>
      <c r="I60" s="42" t="str">
        <f t="shared" si="45"/>
        <v/>
      </c>
      <c r="J60" s="42" t="str">
        <f t="shared" si="46"/>
        <v/>
      </c>
      <c r="K60" s="41"/>
      <c r="L60" s="41"/>
      <c r="M60" s="41">
        <v>1</v>
      </c>
      <c r="N60" s="41"/>
      <c r="O60" s="19">
        <f t="shared" si="47"/>
        <v>1</v>
      </c>
      <c r="P60" s="19" t="str">
        <f t="shared" si="48"/>
        <v/>
      </c>
      <c r="Q60" s="42">
        <f t="shared" si="49"/>
        <v>1</v>
      </c>
      <c r="R60" s="42" t="str">
        <f t="shared" si="50"/>
        <v/>
      </c>
    </row>
    <row r="61" spans="1:18" ht="24.95" customHeight="1">
      <c r="A61" s="18">
        <v>4</v>
      </c>
      <c r="B61" s="29" t="s">
        <v>28</v>
      </c>
      <c r="C61" s="41"/>
      <c r="D61" s="41"/>
      <c r="E61" s="41"/>
      <c r="F61" s="41"/>
      <c r="G61" s="19" t="str">
        <f>IF(AND(C61=0,E61=0),"",IFERROR(IF(OR(E61=0,E61=""),-C61,E61-C61),""))</f>
        <v/>
      </c>
      <c r="H61" s="19" t="str">
        <f>IF(AND(D61=0,F61=0),"",IFERROR(IF(OR(F61=0,F61=""),-D61,F61-D61),""))</f>
        <v/>
      </c>
      <c r="I61" s="42" t="str">
        <f t="shared" si="45"/>
        <v/>
      </c>
      <c r="J61" s="42" t="str">
        <f t="shared" si="46"/>
        <v/>
      </c>
      <c r="K61" s="41"/>
      <c r="L61" s="41"/>
      <c r="M61" s="41"/>
      <c r="N61" s="41"/>
      <c r="O61" s="19" t="str">
        <f>IF(AND(K61=0,M61=0),"",IFERROR(IF(OR(M61=0,M61=""),-K61,M61-K61),""))</f>
        <v/>
      </c>
      <c r="P61" s="19" t="str">
        <f>IF(AND(L61=0,N61=0),"",IFERROR(IF(OR(N61=0,N61=""),-L61,N61-L61),""))</f>
        <v/>
      </c>
      <c r="Q61" s="42" t="str">
        <f t="shared" si="49"/>
        <v/>
      </c>
      <c r="R61" s="42" t="str">
        <f t="shared" si="50"/>
        <v/>
      </c>
    </row>
    <row r="62" spans="1:18">
      <c r="A62" s="157" t="s">
        <v>248</v>
      </c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</row>
    <row r="63" spans="1:18">
      <c r="A63" s="158"/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</row>
    <row r="64" spans="1:18" ht="50.1" customHeight="1">
      <c r="A64" s="18"/>
      <c r="B64" s="66" t="s">
        <v>145</v>
      </c>
      <c r="C64" s="136"/>
      <c r="D64" s="159"/>
      <c r="E64" s="159"/>
      <c r="F64" s="143"/>
      <c r="G64" s="136" t="s">
        <v>250</v>
      </c>
      <c r="H64" s="159"/>
      <c r="I64" s="159"/>
      <c r="J64" s="143"/>
      <c r="K64" s="136" t="str">
        <f xml:space="preserve"> "Факт Январь - " &amp;$R2&amp; " 2023 г"</f>
        <v>Факт Январь - Сентябрь 2023 г</v>
      </c>
      <c r="L64" s="143"/>
      <c r="M64" s="136" t="str">
        <f xml:space="preserve"> "Факт Январь - " &amp;$R2&amp; " 2024 г"</f>
        <v>Факт Январь - Сентябрь 2024 г</v>
      </c>
      <c r="N64" s="143"/>
      <c r="O64" s="136" t="s">
        <v>250</v>
      </c>
      <c r="P64" s="159"/>
      <c r="Q64" s="159"/>
      <c r="R64" s="143"/>
    </row>
    <row r="65" spans="1:18">
      <c r="A65" s="150"/>
      <c r="B65" s="152"/>
      <c r="C65" s="160" t="str">
        <f>"Факт " &amp;$R2 &amp; " 2023 г"</f>
        <v>Факт Сентябрь 2023 г</v>
      </c>
      <c r="D65" s="161"/>
      <c r="E65" s="162" t="str">
        <f>"Факт " &amp;$R2 &amp; " 2024 г"</f>
        <v>Факт Сентябрь 2024 г</v>
      </c>
      <c r="F65" s="163"/>
      <c r="G65" s="164" t="s">
        <v>140</v>
      </c>
      <c r="H65" s="165"/>
      <c r="I65" s="160" t="s">
        <v>4</v>
      </c>
      <c r="J65" s="161"/>
      <c r="K65" s="164" t="s">
        <v>140</v>
      </c>
      <c r="L65" s="165"/>
      <c r="M65" s="164" t="s">
        <v>140</v>
      </c>
      <c r="N65" s="165"/>
      <c r="O65" s="164" t="s">
        <v>140</v>
      </c>
      <c r="P65" s="165"/>
      <c r="Q65" s="160" t="s">
        <v>4</v>
      </c>
      <c r="R65" s="161"/>
    </row>
    <row r="66" spans="1:18">
      <c r="A66" s="151"/>
      <c r="B66" s="153"/>
      <c r="C66" s="17" t="s">
        <v>25</v>
      </c>
      <c r="D66" s="18" t="s">
        <v>138</v>
      </c>
      <c r="E66" s="18" t="s">
        <v>25</v>
      </c>
      <c r="F66" s="18" t="s">
        <v>138</v>
      </c>
      <c r="G66" s="18" t="s">
        <v>25</v>
      </c>
      <c r="H66" s="17" t="s">
        <v>138</v>
      </c>
      <c r="I66" s="17" t="s">
        <v>25</v>
      </c>
      <c r="J66" s="17" t="s">
        <v>138</v>
      </c>
      <c r="K66" s="18" t="s">
        <v>25</v>
      </c>
      <c r="L66" s="17" t="s">
        <v>138</v>
      </c>
      <c r="M66" s="18" t="s">
        <v>25</v>
      </c>
      <c r="N66" s="17" t="s">
        <v>138</v>
      </c>
      <c r="O66" s="18" t="s">
        <v>25</v>
      </c>
      <c r="P66" s="17" t="s">
        <v>138</v>
      </c>
      <c r="Q66" s="17" t="s">
        <v>25</v>
      </c>
      <c r="R66" s="17" t="s">
        <v>138</v>
      </c>
    </row>
    <row r="67" spans="1:18">
      <c r="A67" s="18" t="s">
        <v>1</v>
      </c>
      <c r="B67" s="12" t="s">
        <v>12</v>
      </c>
      <c r="C67" s="17">
        <v>97</v>
      </c>
      <c r="D67" s="18">
        <v>98</v>
      </c>
      <c r="E67" s="17">
        <v>99</v>
      </c>
      <c r="F67" s="18">
        <v>100</v>
      </c>
      <c r="G67" s="17">
        <v>101</v>
      </c>
      <c r="H67" s="18">
        <v>102</v>
      </c>
      <c r="I67" s="17">
        <v>103</v>
      </c>
      <c r="J67" s="18">
        <v>104</v>
      </c>
      <c r="K67" s="17">
        <v>105</v>
      </c>
      <c r="L67" s="18">
        <v>106</v>
      </c>
      <c r="M67" s="17">
        <v>107</v>
      </c>
      <c r="N67" s="18">
        <v>108</v>
      </c>
      <c r="O67" s="17">
        <v>109</v>
      </c>
      <c r="P67" s="18">
        <v>110</v>
      </c>
      <c r="Q67" s="17">
        <v>111</v>
      </c>
      <c r="R67" s="18">
        <v>112</v>
      </c>
    </row>
    <row r="68" spans="1:18" ht="24.95" customHeight="1">
      <c r="A68" s="18">
        <v>1</v>
      </c>
      <c r="B68" s="29" t="s">
        <v>26</v>
      </c>
      <c r="C68" s="41"/>
      <c r="D68" s="41"/>
      <c r="E68" s="41"/>
      <c r="F68" s="41"/>
      <c r="G68" s="19" t="str">
        <f>IF(AND(C68=0,E68=0),"",IFERROR(IF(OR(E68=0,E68=""),-C68,E68-C68),""))</f>
        <v/>
      </c>
      <c r="H68" s="19" t="str">
        <f>IF(AND(D68=0,F68=0),"",IFERROR(IF(OR(F68=0,F68=""),-D68,F68-D68),""))</f>
        <v/>
      </c>
      <c r="I68" s="42" t="str">
        <f>IF(AND(E68=0,C68=0),"",IFERROR(IF(C68=0, E68, E68/C68),""))</f>
        <v/>
      </c>
      <c r="J68" s="42" t="str">
        <f>IF(AND(F68=0,D68=0),"",IFERROR(IF(D68=0, F68, F68/D68),""))</f>
        <v/>
      </c>
      <c r="K68" s="41"/>
      <c r="L68" s="41"/>
      <c r="M68" s="41">
        <v>9</v>
      </c>
      <c r="N68" s="41"/>
      <c r="O68" s="19">
        <f>IF(AND(K68=0,M68=0),"",IFERROR(IF(OR(M68=0,M68=""),-K68,M68-K68),""))</f>
        <v>9</v>
      </c>
      <c r="P68" s="19" t="str">
        <f>IF(AND(L68=0,N68=0),"",IFERROR(IF(OR(N68=0,N68=""),-L68,N68-L68),""))</f>
        <v/>
      </c>
      <c r="Q68" s="42">
        <f>IF(AND(M68=0,K68=0),"",IFERROR(IF(K68=0, M68, M68/K68),""))</f>
        <v>9</v>
      </c>
      <c r="R68" s="42" t="str">
        <f>IF(AND(N68=0,L68=0),"",IFERROR(IF(L68=0, N68, N68/L68),""))</f>
        <v/>
      </c>
    </row>
    <row r="69" spans="1:18" ht="24.95" customHeight="1">
      <c r="A69" s="18">
        <v>2</v>
      </c>
      <c r="B69" s="29" t="s">
        <v>168</v>
      </c>
      <c r="C69" s="41"/>
      <c r="D69" s="41"/>
      <c r="E69" s="41"/>
      <c r="F69" s="41"/>
      <c r="G69" s="19" t="str">
        <f t="shared" ref="G69:G70" si="51">IF(AND(C69=0,E69=0),"",IFERROR(IF(OR(E69=0,E69=""),-C69,E69-C69),""))</f>
        <v/>
      </c>
      <c r="H69" s="19" t="str">
        <f t="shared" ref="H69:H70" si="52">IF(AND(D69=0,F69=0),"",IFERROR(IF(OR(F69=0,F69=""),-D69,F69-D69),""))</f>
        <v/>
      </c>
      <c r="I69" s="42" t="str">
        <f t="shared" ref="I69:I71" si="53">IF(AND(E69=0,C69=0),"",IFERROR(IF(C69=0, E69, E69/C69),""))</f>
        <v/>
      </c>
      <c r="J69" s="42" t="str">
        <f t="shared" ref="J69:J71" si="54">IF(AND(F69=0,D69=0),"",IFERROR(IF(D69=0, F69, F69/D69),""))</f>
        <v/>
      </c>
      <c r="K69" s="41"/>
      <c r="L69" s="41"/>
      <c r="M69" s="41"/>
      <c r="N69" s="41"/>
      <c r="O69" s="19" t="str">
        <f t="shared" ref="O69:O70" si="55">IF(AND(K69=0,M69=0),"",IFERROR(IF(OR(M69=0,M69=""),-K69,M69-K69),""))</f>
        <v/>
      </c>
      <c r="P69" s="19" t="str">
        <f t="shared" ref="P69:P70" si="56">IF(AND(L69=0,N69=0),"",IFERROR(IF(OR(N69=0,N69=""),-L69,N69-L69),""))</f>
        <v/>
      </c>
      <c r="Q69" s="42" t="str">
        <f t="shared" ref="Q69:Q71" si="57">IF(AND(M69=0,K69=0),"",IFERROR(IF(K69=0, M69, M69/K69),""))</f>
        <v/>
      </c>
      <c r="R69" s="42" t="str">
        <f t="shared" ref="R69:R71" si="58">IF(AND(N69=0,L69=0),"",IFERROR(IF(L69=0, N69, N69/L69),""))</f>
        <v/>
      </c>
    </row>
    <row r="70" spans="1:18" ht="24.95" customHeight="1">
      <c r="A70" s="18">
        <v>3</v>
      </c>
      <c r="B70" s="29" t="s">
        <v>27</v>
      </c>
      <c r="C70" s="41"/>
      <c r="D70" s="41"/>
      <c r="E70" s="41"/>
      <c r="F70" s="41"/>
      <c r="G70" s="19" t="str">
        <f t="shared" si="51"/>
        <v/>
      </c>
      <c r="H70" s="19" t="str">
        <f t="shared" si="52"/>
        <v/>
      </c>
      <c r="I70" s="42" t="str">
        <f t="shared" si="53"/>
        <v/>
      </c>
      <c r="J70" s="42" t="str">
        <f t="shared" si="54"/>
        <v/>
      </c>
      <c r="K70" s="41"/>
      <c r="L70" s="41"/>
      <c r="M70" s="41"/>
      <c r="N70" s="41"/>
      <c r="O70" s="19" t="str">
        <f t="shared" si="55"/>
        <v/>
      </c>
      <c r="P70" s="19" t="str">
        <f t="shared" si="56"/>
        <v/>
      </c>
      <c r="Q70" s="42" t="str">
        <f t="shared" si="57"/>
        <v/>
      </c>
      <c r="R70" s="42" t="str">
        <f t="shared" si="58"/>
        <v/>
      </c>
    </row>
    <row r="71" spans="1:18" ht="24.95" customHeight="1">
      <c r="A71" s="18">
        <v>4</v>
      </c>
      <c r="B71" s="29" t="s">
        <v>28</v>
      </c>
      <c r="C71" s="41"/>
      <c r="D71" s="41"/>
      <c r="E71" s="41"/>
      <c r="F71" s="41"/>
      <c r="G71" s="19" t="str">
        <f>IF(AND(C71=0,E71=0),"",IFERROR(IF(OR(E71=0,E71=""),-C71,E71-C71),""))</f>
        <v/>
      </c>
      <c r="H71" s="19" t="str">
        <f>IF(AND(D71=0,F71=0),"",IFERROR(IF(OR(F71=0,F71=""),-D71,F71-D71),""))</f>
        <v/>
      </c>
      <c r="I71" s="42" t="str">
        <f t="shared" si="53"/>
        <v/>
      </c>
      <c r="J71" s="42" t="str">
        <f t="shared" si="54"/>
        <v/>
      </c>
      <c r="K71" s="41"/>
      <c r="L71" s="41"/>
      <c r="M71" s="41"/>
      <c r="N71" s="41"/>
      <c r="O71" s="19" t="str">
        <f>IF(AND(K71=0,M71=0),"",IFERROR(IF(OR(M71=0,M71=""),-K71,M71-K71),""))</f>
        <v/>
      </c>
      <c r="P71" s="19" t="str">
        <f>IF(AND(L71=0,N71=0),"",IFERROR(IF(OR(N71=0,N71=""),-L71,N71-L71),""))</f>
        <v/>
      </c>
      <c r="Q71" s="42" t="str">
        <f t="shared" si="57"/>
        <v/>
      </c>
      <c r="R71" s="42" t="str">
        <f t="shared" si="58"/>
        <v/>
      </c>
    </row>
    <row r="72" spans="1:18">
      <c r="A72" s="157" t="s">
        <v>249</v>
      </c>
      <c r="B72" s="157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</row>
    <row r="73" spans="1:18">
      <c r="A73" s="158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</row>
    <row r="74" spans="1:18" ht="50.1" customHeight="1">
      <c r="A74" s="18"/>
      <c r="B74" s="66" t="s">
        <v>145</v>
      </c>
      <c r="C74" s="136"/>
      <c r="D74" s="159"/>
      <c r="E74" s="159"/>
      <c r="F74" s="143"/>
      <c r="G74" s="136" t="s">
        <v>250</v>
      </c>
      <c r="H74" s="159"/>
      <c r="I74" s="159"/>
      <c r="J74" s="143"/>
      <c r="K74" s="136" t="str">
        <f xml:space="preserve"> "Факт Январь - " &amp;$R2&amp; " 2023 г"</f>
        <v>Факт Январь - Сентябрь 2023 г</v>
      </c>
      <c r="L74" s="143"/>
      <c r="M74" s="136" t="str">
        <f xml:space="preserve"> "Факт Январь - " &amp;$R2&amp; " 2024 г"</f>
        <v>Факт Январь - Сентябрь 2024 г</v>
      </c>
      <c r="N74" s="143"/>
      <c r="O74" s="136" t="s">
        <v>250</v>
      </c>
      <c r="P74" s="159"/>
      <c r="Q74" s="159"/>
      <c r="R74" s="143"/>
    </row>
    <row r="75" spans="1:18">
      <c r="A75" s="150"/>
      <c r="B75" s="152"/>
      <c r="C75" s="160" t="str">
        <f>"Факт " &amp;$R2 &amp; " 2023 г"</f>
        <v>Факт Сентябрь 2023 г</v>
      </c>
      <c r="D75" s="161"/>
      <c r="E75" s="160" t="str">
        <f>"Факт " &amp;$R2 &amp; " 2024 г"</f>
        <v>Факт Сентябрь 2024 г</v>
      </c>
      <c r="F75" s="161"/>
      <c r="G75" s="164" t="s">
        <v>140</v>
      </c>
      <c r="H75" s="165"/>
      <c r="I75" s="160" t="s">
        <v>4</v>
      </c>
      <c r="J75" s="161"/>
      <c r="K75" s="164" t="s">
        <v>140</v>
      </c>
      <c r="L75" s="165"/>
      <c r="M75" s="164" t="s">
        <v>140</v>
      </c>
      <c r="N75" s="165"/>
      <c r="O75" s="164" t="s">
        <v>140</v>
      </c>
      <c r="P75" s="165"/>
      <c r="Q75" s="160" t="s">
        <v>4</v>
      </c>
      <c r="R75" s="161"/>
    </row>
    <row r="76" spans="1:18">
      <c r="A76" s="151"/>
      <c r="B76" s="153"/>
      <c r="C76" s="17" t="s">
        <v>25</v>
      </c>
      <c r="D76" s="18" t="s">
        <v>138</v>
      </c>
      <c r="E76" s="18" t="s">
        <v>25</v>
      </c>
      <c r="F76" s="18" t="s">
        <v>138</v>
      </c>
      <c r="G76" s="18" t="s">
        <v>25</v>
      </c>
      <c r="H76" s="17" t="s">
        <v>138</v>
      </c>
      <c r="I76" s="17" t="s">
        <v>25</v>
      </c>
      <c r="J76" s="17" t="s">
        <v>138</v>
      </c>
      <c r="K76" s="18" t="s">
        <v>25</v>
      </c>
      <c r="L76" s="17" t="s">
        <v>138</v>
      </c>
      <c r="M76" s="18" t="s">
        <v>25</v>
      </c>
      <c r="N76" s="17" t="s">
        <v>138</v>
      </c>
      <c r="O76" s="18" t="s">
        <v>25</v>
      </c>
      <c r="P76" s="17" t="s">
        <v>138</v>
      </c>
      <c r="Q76" s="17" t="s">
        <v>25</v>
      </c>
      <c r="R76" s="17" t="s">
        <v>138</v>
      </c>
    </row>
    <row r="77" spans="1:18">
      <c r="A77" s="18" t="s">
        <v>1</v>
      </c>
      <c r="B77" s="12" t="s">
        <v>12</v>
      </c>
      <c r="C77" s="17">
        <v>1</v>
      </c>
      <c r="D77" s="18">
        <v>2</v>
      </c>
      <c r="E77" s="17">
        <v>3</v>
      </c>
      <c r="F77" s="18">
        <v>4</v>
      </c>
      <c r="G77" s="17">
        <v>5</v>
      </c>
      <c r="H77" s="18">
        <v>6</v>
      </c>
      <c r="I77" s="17">
        <v>7</v>
      </c>
      <c r="J77" s="18">
        <v>8</v>
      </c>
      <c r="K77" s="17">
        <v>9</v>
      </c>
      <c r="L77" s="18">
        <v>10</v>
      </c>
      <c r="M77" s="17">
        <v>11</v>
      </c>
      <c r="N77" s="18">
        <v>12</v>
      </c>
      <c r="O77" s="17">
        <v>13</v>
      </c>
      <c r="P77" s="18">
        <v>14</v>
      </c>
      <c r="Q77" s="17">
        <v>15</v>
      </c>
      <c r="R77" s="18">
        <v>16</v>
      </c>
    </row>
    <row r="78" spans="1:18" ht="24.95" customHeight="1">
      <c r="A78" s="18">
        <v>1</v>
      </c>
      <c r="B78" s="29" t="s">
        <v>26</v>
      </c>
      <c r="C78" s="41"/>
      <c r="D78" s="41"/>
      <c r="E78" s="41"/>
      <c r="F78" s="41"/>
      <c r="G78" s="19" t="str">
        <f>IF(AND(C78=0,E78=0),"",IFERROR(IF(OR(E78=0,E78=""),-C78,E78-C78),""))</f>
        <v/>
      </c>
      <c r="H78" s="19" t="str">
        <f>IF(AND(D78=0,F78=0),"",IFERROR(IF(OR(F78=0,F78=""),-D78,F78-D78),""))</f>
        <v/>
      </c>
      <c r="I78" s="42" t="str">
        <f>IF(AND(E78=0,C78=0),"",IFERROR(IF(C78=0, E78, E78/C78),""))</f>
        <v/>
      </c>
      <c r="J78" s="42" t="str">
        <f>IF(AND(F78=0,D78=0),"",IFERROR(IF(D78=0, F78, F78/D78),""))</f>
        <v/>
      </c>
      <c r="K78" s="41">
        <v>1</v>
      </c>
      <c r="L78" s="41">
        <v>4</v>
      </c>
      <c r="M78" s="41">
        <v>6</v>
      </c>
      <c r="N78" s="41"/>
      <c r="O78" s="19">
        <f>IF(AND(K78=0,M78=0),"",IFERROR(IF(OR(M78=0,M78=""),-K78,M78-K78),""))</f>
        <v>5</v>
      </c>
      <c r="P78" s="19">
        <f>IF(AND(L78=0,N78=0),"",IFERROR(IF(OR(N78=0,N78=""),-L78,N78-L78),""))</f>
        <v>-4</v>
      </c>
      <c r="Q78" s="42">
        <f>IF(AND(M78=0,K78=0),"",IFERROR(IF(K78=0, M78, M78/K78),""))</f>
        <v>6</v>
      </c>
      <c r="R78" s="42">
        <f>IF(AND(N78=0,L78=0),"",IFERROR(IF(L78=0, N78, N78/L78),""))</f>
        <v>0</v>
      </c>
    </row>
    <row r="79" spans="1:18" ht="24.95" customHeight="1">
      <c r="A79" s="18">
        <v>2</v>
      </c>
      <c r="B79" s="29" t="s">
        <v>168</v>
      </c>
      <c r="C79" s="41"/>
      <c r="D79" s="41"/>
      <c r="E79" s="41"/>
      <c r="F79" s="41"/>
      <c r="G79" s="19" t="str">
        <f t="shared" ref="G79:G80" si="59">IF(AND(C79=0,E79=0),"",IFERROR(IF(OR(E79=0,E79=""),-C79,E79-C79),""))</f>
        <v/>
      </c>
      <c r="H79" s="19" t="str">
        <f t="shared" ref="H79:H80" si="60">IF(AND(D79=0,F79=0),"",IFERROR(IF(OR(F79=0,F79=""),-D79,F79-D79),""))</f>
        <v/>
      </c>
      <c r="I79" s="42" t="str">
        <f t="shared" ref="I79:I81" si="61">IF(AND(E79=0,C79=0),"",IFERROR(IF(C79=0, E79, E79/C79),""))</f>
        <v/>
      </c>
      <c r="J79" s="42" t="str">
        <f t="shared" ref="J79:J81" si="62">IF(AND(F79=0,D79=0),"",IFERROR(IF(D79=0, F79, F79/D79),""))</f>
        <v/>
      </c>
      <c r="K79" s="41"/>
      <c r="L79" s="41"/>
      <c r="M79" s="41"/>
      <c r="N79" s="41"/>
      <c r="O79" s="19" t="str">
        <f t="shared" ref="O79:O80" si="63">IF(AND(K79=0,M79=0),"",IFERROR(IF(OR(M79=0,M79=""),-K79,M79-K79),""))</f>
        <v/>
      </c>
      <c r="P79" s="19" t="str">
        <f t="shared" ref="P79:P80" si="64">IF(AND(L79=0,N79=0),"",IFERROR(IF(OR(N79=0,N79=""),-L79,N79-L79),""))</f>
        <v/>
      </c>
      <c r="Q79" s="42" t="str">
        <f t="shared" ref="Q79:Q81" si="65">IF(AND(M79=0,K79=0),"",IFERROR(IF(K79=0, M79, M79/K79),""))</f>
        <v/>
      </c>
      <c r="R79" s="42" t="str">
        <f t="shared" ref="R79:R81" si="66">IF(AND(N79=0,L79=0),"",IFERROR(IF(L79=0, N79, N79/L79),""))</f>
        <v/>
      </c>
    </row>
    <row r="80" spans="1:18" ht="24.95" customHeight="1">
      <c r="A80" s="18">
        <v>3</v>
      </c>
      <c r="B80" s="29" t="s">
        <v>27</v>
      </c>
      <c r="C80" s="41"/>
      <c r="D80" s="41"/>
      <c r="E80" s="41"/>
      <c r="F80" s="41"/>
      <c r="G80" s="19" t="str">
        <f t="shared" si="59"/>
        <v/>
      </c>
      <c r="H80" s="19" t="str">
        <f t="shared" si="60"/>
        <v/>
      </c>
      <c r="I80" s="42" t="str">
        <f t="shared" si="61"/>
        <v/>
      </c>
      <c r="J80" s="42" t="str">
        <f t="shared" si="62"/>
        <v/>
      </c>
      <c r="K80" s="41"/>
      <c r="L80" s="41"/>
      <c r="M80" s="41">
        <v>2</v>
      </c>
      <c r="N80" s="41"/>
      <c r="O80" s="19">
        <f t="shared" si="63"/>
        <v>2</v>
      </c>
      <c r="P80" s="19" t="str">
        <f t="shared" si="64"/>
        <v/>
      </c>
      <c r="Q80" s="42">
        <f t="shared" si="65"/>
        <v>2</v>
      </c>
      <c r="R80" s="42" t="str">
        <f t="shared" si="66"/>
        <v/>
      </c>
    </row>
    <row r="81" spans="1:18" ht="24.95" customHeight="1">
      <c r="A81" s="18">
        <v>4</v>
      </c>
      <c r="B81" s="29" t="s">
        <v>28</v>
      </c>
      <c r="C81" s="41"/>
      <c r="D81" s="41"/>
      <c r="E81" s="41"/>
      <c r="F81" s="41"/>
      <c r="G81" s="19" t="str">
        <f>IF(AND(C81=0,E81=0),"",IFERROR(IF(OR(E81=0,E81=""),-C81,E81-C81),""))</f>
        <v/>
      </c>
      <c r="H81" s="19" t="str">
        <f>IF(AND(D81=0,F81=0),"",IFERROR(IF(OR(F81=0,F81=""),-D81,F81-D81),""))</f>
        <v/>
      </c>
      <c r="I81" s="42" t="str">
        <f t="shared" si="61"/>
        <v/>
      </c>
      <c r="J81" s="42" t="str">
        <f t="shared" si="62"/>
        <v/>
      </c>
      <c r="K81" s="41"/>
      <c r="L81" s="41"/>
      <c r="M81" s="41"/>
      <c r="N81" s="41"/>
      <c r="O81" s="19" t="str">
        <f>IF(AND(K81=0,M81=0),"",IFERROR(IF(OR(M81=0,M81=""),-K81,M81-K81),""))</f>
        <v/>
      </c>
      <c r="P81" s="19" t="str">
        <f>IF(AND(L81=0,N81=0),"",IFERROR(IF(OR(N81=0,N81=""),-L81,N81-L81),""))</f>
        <v/>
      </c>
      <c r="Q81" s="42" t="str">
        <f t="shared" si="65"/>
        <v/>
      </c>
      <c r="R81" s="42" t="str">
        <f t="shared" si="66"/>
        <v/>
      </c>
    </row>
  </sheetData>
  <sheetProtection algorithmName="SHA-512" hashValue="BWdaxTsPuhTjdGxQNoWw300MsIree0kMmcgRpHYWjOuBhwwNk6awcJAlItaaQNJD6+NJlfaPgw2ume9XRlO7LA==" saltValue="D0RlvkKOCpBTJN7xdduB6w==" spinCount="100000" sheet="1" objects="1" scenarios="1"/>
  <mergeCells count="129">
    <mergeCell ref="O5:P5"/>
    <mergeCell ref="Q5:R5"/>
    <mergeCell ref="G5:H5"/>
    <mergeCell ref="I5:J5"/>
    <mergeCell ref="K5:L5"/>
    <mergeCell ref="M5:N5"/>
    <mergeCell ref="M65:N65"/>
    <mergeCell ref="O65:P65"/>
    <mergeCell ref="Q65:R65"/>
    <mergeCell ref="C65:D65"/>
    <mergeCell ref="E65:F65"/>
    <mergeCell ref="G65:H65"/>
    <mergeCell ref="I65:J65"/>
    <mergeCell ref="K65:L65"/>
    <mergeCell ref="K55:L55"/>
    <mergeCell ref="M55:N55"/>
    <mergeCell ref="O55:P55"/>
    <mergeCell ref="Q55:R55"/>
    <mergeCell ref="M75:N75"/>
    <mergeCell ref="O75:P75"/>
    <mergeCell ref="Q75:R75"/>
    <mergeCell ref="C15:D15"/>
    <mergeCell ref="E15:F15"/>
    <mergeCell ref="K25:L25"/>
    <mergeCell ref="M25:N25"/>
    <mergeCell ref="O25:P25"/>
    <mergeCell ref="Q25:R25"/>
    <mergeCell ref="O15:P15"/>
    <mergeCell ref="Q15:R15"/>
    <mergeCell ref="C25:D25"/>
    <mergeCell ref="E25:F25"/>
    <mergeCell ref="G25:H25"/>
    <mergeCell ref="I25:J25"/>
    <mergeCell ref="M35:N35"/>
    <mergeCell ref="O35:P35"/>
    <mergeCell ref="Q35:R35"/>
    <mergeCell ref="C45:D45"/>
    <mergeCell ref="E45:F45"/>
    <mergeCell ref="C35:D35"/>
    <mergeCell ref="E35:F35"/>
    <mergeCell ref="G35:H35"/>
    <mergeCell ref="I35:J35"/>
    <mergeCell ref="O4:R4"/>
    <mergeCell ref="O54:R54"/>
    <mergeCell ref="C64:F64"/>
    <mergeCell ref="G64:J64"/>
    <mergeCell ref="C75:D75"/>
    <mergeCell ref="E75:F75"/>
    <mergeCell ref="G75:H75"/>
    <mergeCell ref="I75:J75"/>
    <mergeCell ref="K75:L75"/>
    <mergeCell ref="O64:R64"/>
    <mergeCell ref="C4:F4"/>
    <mergeCell ref="G4:J4"/>
    <mergeCell ref="O44:R44"/>
    <mergeCell ref="C54:F54"/>
    <mergeCell ref="G54:J54"/>
    <mergeCell ref="G34:J34"/>
    <mergeCell ref="O34:R34"/>
    <mergeCell ref="C44:F44"/>
    <mergeCell ref="G44:J44"/>
    <mergeCell ref="C74:F74"/>
    <mergeCell ref="G74:J74"/>
    <mergeCell ref="G15:H15"/>
    <mergeCell ref="I15:J15"/>
    <mergeCell ref="K15:L15"/>
    <mergeCell ref="K74:L74"/>
    <mergeCell ref="M74:N74"/>
    <mergeCell ref="K14:L14"/>
    <mergeCell ref="M14:N14"/>
    <mergeCell ref="K24:L24"/>
    <mergeCell ref="M24:N24"/>
    <mergeCell ref="M34:N34"/>
    <mergeCell ref="K34:L34"/>
    <mergeCell ref="O74:R74"/>
    <mergeCell ref="O24:R24"/>
    <mergeCell ref="O14:R14"/>
    <mergeCell ref="M15:N15"/>
    <mergeCell ref="K35:L35"/>
    <mergeCell ref="O45:P45"/>
    <mergeCell ref="Q45:R45"/>
    <mergeCell ref="K45:L45"/>
    <mergeCell ref="M45:N45"/>
    <mergeCell ref="B35:B36"/>
    <mergeCell ref="K44:L44"/>
    <mergeCell ref="M44:N44"/>
    <mergeCell ref="K54:L54"/>
    <mergeCell ref="M54:N54"/>
    <mergeCell ref="K64:L64"/>
    <mergeCell ref="M64:N64"/>
    <mergeCell ref="K4:L4"/>
    <mergeCell ref="M4:N4"/>
    <mergeCell ref="C14:F14"/>
    <mergeCell ref="G14:J14"/>
    <mergeCell ref="C34:F34"/>
    <mergeCell ref="C24:F24"/>
    <mergeCell ref="G24:J24"/>
    <mergeCell ref="C55:D55"/>
    <mergeCell ref="E55:F55"/>
    <mergeCell ref="G55:H55"/>
    <mergeCell ref="I55:J55"/>
    <mergeCell ref="G45:H45"/>
    <mergeCell ref="I45:J45"/>
    <mergeCell ref="C5:D5"/>
    <mergeCell ref="E5:F5"/>
    <mergeCell ref="A45:A46"/>
    <mergeCell ref="B45:B46"/>
    <mergeCell ref="A55:A56"/>
    <mergeCell ref="B55:B56"/>
    <mergeCell ref="A65:A66"/>
    <mergeCell ref="B65:B66"/>
    <mergeCell ref="A75:A76"/>
    <mergeCell ref="B75:B76"/>
    <mergeCell ref="R2:R3"/>
    <mergeCell ref="A1:Q3"/>
    <mergeCell ref="A12:R13"/>
    <mergeCell ref="A22:R23"/>
    <mergeCell ref="A32:R33"/>
    <mergeCell ref="A42:R43"/>
    <mergeCell ref="A52:R53"/>
    <mergeCell ref="A62:R63"/>
    <mergeCell ref="A72:R73"/>
    <mergeCell ref="B5:B6"/>
    <mergeCell ref="A5:A6"/>
    <mergeCell ref="A15:A16"/>
    <mergeCell ref="B15:B16"/>
    <mergeCell ref="A25:A26"/>
    <mergeCell ref="B25:B26"/>
    <mergeCell ref="A35:A36"/>
  </mergeCell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Титульный лист</vt:lpstr>
      <vt:lpstr>Содержание </vt:lpstr>
      <vt:lpstr>Вводные положения</vt:lpstr>
      <vt:lpstr>Таблица 1.1.1</vt:lpstr>
      <vt:lpstr>Таблица 1.1.2. </vt:lpstr>
      <vt:lpstr>Таблица 1.1.3</vt:lpstr>
      <vt:lpstr>Таблица 1.2.1</vt:lpstr>
      <vt:lpstr>Таблица 1.2.2</vt:lpstr>
      <vt:lpstr>Таблица 1.2.3 </vt:lpstr>
      <vt:lpstr>Таблица 1.3.1</vt:lpstr>
      <vt:lpstr>Таблица 2.1.1</vt:lpstr>
      <vt:lpstr>Таблица 2.1.2</vt:lpstr>
      <vt:lpstr>Таблица 2.2.1. </vt:lpstr>
      <vt:lpstr>Таблица 2.3.1. </vt:lpstr>
      <vt:lpstr>Таблица 3.1</vt:lpstr>
      <vt:lpstr>Таблица 3.2.  </vt:lpstr>
      <vt:lpstr>Таблица 4.1</vt:lpstr>
      <vt:lpstr>Таблица 4.2</vt:lpstr>
      <vt:lpstr>Таблица 5.1. </vt:lpstr>
      <vt:lpstr>Таблица 6.1</vt:lpstr>
      <vt:lpstr>Таблица 7.1</vt:lpstr>
      <vt:lpstr>Таблица 8.1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Санарип</dc:creator>
  <cp:lastModifiedBy>Санарип</cp:lastModifiedBy>
  <cp:lastPrinted>2024-09-16T03:28:21Z</cp:lastPrinted>
  <dcterms:created xsi:type="dcterms:W3CDTF">2024-09-03T12:02:37Z</dcterms:created>
  <dcterms:modified xsi:type="dcterms:W3CDTF">2024-12-02T08:26:54Z</dcterms:modified>
</cp:coreProperties>
</file>