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1955" windowHeight="879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V55" i="1" l="1"/>
  <c r="AV54" i="1"/>
  <c r="AV53" i="1"/>
  <c r="AV52" i="1"/>
  <c r="AV51" i="1"/>
  <c r="AK51" i="1"/>
  <c r="AV50" i="1"/>
  <c r="I50" i="1"/>
  <c r="N49" i="1"/>
  <c r="E49" i="1"/>
  <c r="E48" i="1"/>
  <c r="AV48" i="1" s="1"/>
  <c r="AK47" i="1"/>
  <c r="AV47" i="1" s="1"/>
  <c r="AV46" i="1"/>
  <c r="AV45" i="1"/>
  <c r="AH44" i="1"/>
  <c r="AV44" i="1" s="1"/>
  <c r="AV43" i="1"/>
  <c r="AV42" i="1"/>
  <c r="E42" i="1"/>
  <c r="AV41" i="1"/>
  <c r="AV40" i="1"/>
  <c r="AV39" i="1"/>
  <c r="AK38" i="1"/>
  <c r="AV38" i="1" s="1"/>
  <c r="AV37" i="1"/>
  <c r="AV36" i="1"/>
  <c r="M35" i="1"/>
  <c r="E35" i="1"/>
  <c r="AV34" i="1"/>
  <c r="D33" i="1"/>
  <c r="AV33" i="1" s="1"/>
  <c r="AV32" i="1"/>
  <c r="AV31" i="1"/>
  <c r="D30" i="1"/>
  <c r="AV30" i="1" s="1"/>
  <c r="E29" i="1"/>
  <c r="AV29" i="1" s="1"/>
  <c r="D28" i="1"/>
  <c r="AV28" i="1" s="1"/>
  <c r="AA27" i="1"/>
  <c r="AV27" i="1" s="1"/>
  <c r="AC26" i="1"/>
  <c r="AV26" i="1" s="1"/>
  <c r="AV25" i="1"/>
  <c r="AV24" i="1"/>
  <c r="M23" i="1"/>
  <c r="AV23" i="1" s="1"/>
  <c r="H22" i="1"/>
  <c r="AV22" i="1" s="1"/>
  <c r="AV21" i="1"/>
  <c r="AV20" i="1"/>
  <c r="D20" i="1"/>
  <c r="AV19" i="1"/>
  <c r="AD18" i="1"/>
  <c r="E18" i="1"/>
  <c r="AV18" i="1" s="1"/>
  <c r="M17" i="1"/>
  <c r="I17" i="1"/>
  <c r="AV17" i="1" s="1"/>
  <c r="E17" i="1"/>
  <c r="AV16" i="1"/>
  <c r="AA15" i="1"/>
  <c r="O15" i="1"/>
  <c r="M15" i="1"/>
  <c r="I15" i="1"/>
  <c r="AV15" i="1" s="1"/>
  <c r="AU14" i="1"/>
  <c r="AI14" i="1"/>
  <c r="V14" i="1"/>
  <c r="M14" i="1"/>
  <c r="L14" i="1"/>
  <c r="K14" i="1"/>
  <c r="J14" i="1"/>
  <c r="I14" i="1"/>
  <c r="AV14" i="1" s="1"/>
  <c r="E14" i="1"/>
  <c r="U13" i="1"/>
  <c r="M13" i="1"/>
  <c r="AV13" i="1" s="1"/>
  <c r="H13" i="1"/>
  <c r="M12" i="1"/>
  <c r="D12" i="1"/>
  <c r="AE11" i="1"/>
  <c r="AA11" i="1"/>
  <c r="W11" i="1"/>
  <c r="O11" i="1"/>
  <c r="N11" i="1"/>
  <c r="M11" i="1"/>
  <c r="J11" i="1"/>
  <c r="D11" i="1"/>
  <c r="T10" i="1"/>
  <c r="Q10" i="1"/>
  <c r="D10" i="1"/>
  <c r="M9" i="1"/>
  <c r="D9" i="1"/>
  <c r="AV9" i="1" s="1"/>
  <c r="J8" i="1"/>
  <c r="H8" i="1"/>
  <c r="AV8" i="1" s="1"/>
  <c r="N7" i="1"/>
  <c r="E7" i="1"/>
  <c r="AV7" i="1" s="1"/>
  <c r="AE6" i="1"/>
  <c r="Q6" i="1"/>
  <c r="P6" i="1"/>
  <c r="O6" i="1"/>
  <c r="L6" i="1"/>
  <c r="H6" i="1"/>
  <c r="D6" i="1"/>
  <c r="Q5" i="1"/>
  <c r="P5" i="1"/>
  <c r="O5" i="1"/>
  <c r="E5" i="1"/>
  <c r="AV4" i="1"/>
  <c r="U4" i="1"/>
  <c r="AV5" i="1" l="1"/>
  <c r="AV6" i="1"/>
  <c r="AV10" i="1"/>
  <c r="AV11" i="1"/>
  <c r="AV12" i="1"/>
  <c r="AV35" i="1"/>
  <c r="AV49" i="1"/>
</calcChain>
</file>

<file path=xl/sharedStrings.xml><?xml version="1.0" encoding="utf-8"?>
<sst xmlns="http://schemas.openxmlformats.org/spreadsheetml/2006/main" count="197" uniqueCount="106">
  <si>
    <t>№</t>
  </si>
  <si>
    <t>Вид животных и наименование продуктов и сырья животного происхождения</t>
  </si>
  <si>
    <t>Ед. изм</t>
  </si>
  <si>
    <t>ввоз</t>
  </si>
  <si>
    <t>КРС</t>
  </si>
  <si>
    <t>гол.</t>
  </si>
  <si>
    <t>Лошади</t>
  </si>
  <si>
    <t>Мясо птицы</t>
  </si>
  <si>
    <t>тн.</t>
  </si>
  <si>
    <t>Мясо говядина</t>
  </si>
  <si>
    <t>Мясная продукция</t>
  </si>
  <si>
    <t>Молочная продукция</t>
  </si>
  <si>
    <t>Йогурт</t>
  </si>
  <si>
    <t>Мороженое</t>
  </si>
  <si>
    <t>Сливки</t>
  </si>
  <si>
    <t>Заменитель молока</t>
  </si>
  <si>
    <t>Рыба замороженная и морепродукты</t>
  </si>
  <si>
    <t>Рыбные консервы</t>
  </si>
  <si>
    <t>шт.</t>
  </si>
  <si>
    <t>Шкур КРС</t>
  </si>
  <si>
    <t>Шкур МРС</t>
  </si>
  <si>
    <t>Шерсть МРС</t>
  </si>
  <si>
    <t>Комбикорм добавки био</t>
  </si>
  <si>
    <t>Кормовые добавки</t>
  </si>
  <si>
    <t>Корм для животных и птиц</t>
  </si>
  <si>
    <t>Корм для непродуктивных животных</t>
  </si>
  <si>
    <t>Корм для рыб</t>
  </si>
  <si>
    <t>Корм для собак и кошек</t>
  </si>
  <si>
    <t>Куриные лапки</t>
  </si>
  <si>
    <t>Мёд натуральный</t>
  </si>
  <si>
    <t>Ветпрепараты</t>
  </si>
  <si>
    <t>Суточные цыплята</t>
  </si>
  <si>
    <t>Шрот</t>
  </si>
  <si>
    <t>Рыбная мука</t>
  </si>
  <si>
    <t>Кишки МРС</t>
  </si>
  <si>
    <t>Курдюк МРС</t>
  </si>
  <si>
    <t>Малёк</t>
  </si>
  <si>
    <t>Пчелопакет</t>
  </si>
  <si>
    <t>Говяжьи книжки</t>
  </si>
  <si>
    <t>Сухие сливки</t>
  </si>
  <si>
    <t>Икра оплодотворенная</t>
  </si>
  <si>
    <t>Инкубационное яйцо индейки</t>
  </si>
  <si>
    <t>Пиявки медицинские</t>
  </si>
  <si>
    <t>Семена быков производителей</t>
  </si>
  <si>
    <t>доз.</t>
  </si>
  <si>
    <t>Шкуры конские</t>
  </si>
  <si>
    <t>Грубый волос животных</t>
  </si>
  <si>
    <t>Устричный сет</t>
  </si>
  <si>
    <t>Шкура верблюда</t>
  </si>
  <si>
    <t>Импорт из третьих стран за 12 месяцев 2024г.</t>
  </si>
  <si>
    <t>КНР</t>
  </si>
  <si>
    <t>Узбекистан</t>
  </si>
  <si>
    <t>Словения</t>
  </si>
  <si>
    <t>Великобритания</t>
  </si>
  <si>
    <t>Украина</t>
  </si>
  <si>
    <t>Франция</t>
  </si>
  <si>
    <t>Италия</t>
  </si>
  <si>
    <t>Испания</t>
  </si>
  <si>
    <t>Дания</t>
  </si>
  <si>
    <t>Турция</t>
  </si>
  <si>
    <t>Иран</t>
  </si>
  <si>
    <t>Польша</t>
  </si>
  <si>
    <t>Латвия</t>
  </si>
  <si>
    <t>Литва</t>
  </si>
  <si>
    <t>Голландия</t>
  </si>
  <si>
    <t>Австрия</t>
  </si>
  <si>
    <t>Норвегия</t>
  </si>
  <si>
    <t>Чехия</t>
  </si>
  <si>
    <t>США</t>
  </si>
  <si>
    <t>Нидерланды</t>
  </si>
  <si>
    <t>Япония</t>
  </si>
  <si>
    <t>Азербайджан</t>
  </si>
  <si>
    <t>Вьетнам</t>
  </si>
  <si>
    <t>Германия</t>
  </si>
  <si>
    <t>Бразилия</t>
  </si>
  <si>
    <t>Монголия</t>
  </si>
  <si>
    <t>Венгрия</t>
  </si>
  <si>
    <t>Финляндия</t>
  </si>
  <si>
    <t>Бельгия</t>
  </si>
  <si>
    <t>Словакия</t>
  </si>
  <si>
    <t>Бенин</t>
  </si>
  <si>
    <t>Исландия</t>
  </si>
  <si>
    <t>Индонезия</t>
  </si>
  <si>
    <t>Туркменистан</t>
  </si>
  <si>
    <t>Швейцария</t>
  </si>
  <si>
    <t>Эстония</t>
  </si>
  <si>
    <t>Парагвай</t>
  </si>
  <si>
    <t>Малайзия</t>
  </si>
  <si>
    <t>Болгария</t>
  </si>
  <si>
    <t>ОАЭ</t>
  </si>
  <si>
    <t>Грузия</t>
  </si>
  <si>
    <t>Южная Корея</t>
  </si>
  <si>
    <t>Индия</t>
  </si>
  <si>
    <t>Южная Африка</t>
  </si>
  <si>
    <t>ИТОГО</t>
  </si>
  <si>
    <t xml:space="preserve">Сыр </t>
  </si>
  <si>
    <t>Инкубационные яйцо</t>
  </si>
  <si>
    <t>Эмульгаторы</t>
  </si>
  <si>
    <t xml:space="preserve">Творожные шарики </t>
  </si>
  <si>
    <t>Живые птицы (голуби, попугай,куры)</t>
  </si>
  <si>
    <t>Икра рыбная</t>
  </si>
  <si>
    <t>Собака</t>
  </si>
  <si>
    <t>Бычий стержень</t>
  </si>
  <si>
    <t>Яйцо куринное</t>
  </si>
  <si>
    <t>Субпродукты КРС</t>
  </si>
  <si>
    <t>Рыба живая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</si>
</sst>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4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1" fontId="3" fillId="0" borderId="1" xfId="0" applyNumberFormat="1" applyFont="1" applyFill="1" applyBorder="1" applyAlignment="1">
      <alignment horizontal="center" wrapText="1"/>
    </xf>
    <xf numFmtId="1" fontId="3" fillId="0" borderId="1" xfId="0" applyNumberFormat="1" applyFont="1" applyFill="1" applyBorder="1" applyAlignment="1">
      <alignment horizontal="center"/>
    </xf>
    <xf numFmtId="1" fontId="3" fillId="0" borderId="1" xfId="0" applyNumberFormat="1" applyFont="1" applyFill="1" applyBorder="1" applyAlignment="1">
      <alignment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textRotation="90" shrinkToFit="1"/>
    </xf>
    <xf numFmtId="1" fontId="3" fillId="0" borderId="1" xfId="0" applyNumberFormat="1" applyFont="1" applyFill="1" applyBorder="1" applyAlignment="1">
      <alignment horizontal="center" textRotation="90" wrapText="1"/>
    </xf>
    <xf numFmtId="1" fontId="3" fillId="0" borderId="1" xfId="0" applyNumberFormat="1" applyFont="1" applyFill="1" applyBorder="1" applyAlignment="1">
      <alignment horizontal="center" textRotation="90" shrinkToFit="1"/>
    </xf>
    <xf numFmtId="1" fontId="3" fillId="0" borderId="1" xfId="0" applyNumberFormat="1" applyFont="1" applyFill="1" applyBorder="1" applyAlignment="1">
      <alignment horizontal="left" vertical="top"/>
    </xf>
    <xf numFmtId="1" fontId="2" fillId="0" borderId="1" xfId="0" applyNumberFormat="1" applyFont="1" applyFill="1" applyBorder="1" applyAlignment="1">
      <alignment horizontal="left" vertical="top" wrapText="1"/>
    </xf>
    <xf numFmtId="1" fontId="2" fillId="0" borderId="1" xfId="0" applyNumberFormat="1" applyFont="1" applyFill="1" applyBorder="1" applyAlignment="1">
      <alignment horizontal="left" vertical="top"/>
    </xf>
    <xf numFmtId="3" fontId="3" fillId="0" borderId="1" xfId="0" applyNumberFormat="1" applyFont="1" applyFill="1" applyBorder="1" applyAlignment="1">
      <alignment horizontal="right" vertical="top" shrinkToFit="1"/>
    </xf>
    <xf numFmtId="3" fontId="2" fillId="0" borderId="1" xfId="0" applyNumberFormat="1" applyFont="1" applyFill="1" applyBorder="1" applyAlignment="1">
      <alignment horizontal="right" vertical="top" shrinkToFit="1"/>
    </xf>
    <xf numFmtId="3" fontId="3" fillId="0" borderId="1" xfId="0" applyNumberFormat="1" applyFont="1" applyFill="1" applyBorder="1" applyAlignment="1">
      <alignment horizontal="center" wrapText="1"/>
    </xf>
    <xf numFmtId="3" fontId="3" fillId="0" borderId="1" xfId="0" applyNumberFormat="1" applyFont="1" applyFill="1" applyBorder="1" applyAlignment="1">
      <alignment horizontal="center" textRotation="90" shrinkToFit="1"/>
    </xf>
    <xf numFmtId="165" fontId="2" fillId="0" borderId="1" xfId="0" applyNumberFormat="1" applyFont="1" applyFill="1" applyBorder="1" applyAlignment="1">
      <alignment horizontal="left" vertical="top"/>
    </xf>
    <xf numFmtId="164" fontId="2" fillId="0" borderId="1" xfId="0" applyNumberFormat="1" applyFont="1" applyFill="1" applyBorder="1" applyAlignment="1">
      <alignment horizontal="right" vertical="top" shrinkToFit="1"/>
    </xf>
    <xf numFmtId="164" fontId="3" fillId="0" borderId="1" xfId="0" applyNumberFormat="1" applyFont="1" applyFill="1" applyBorder="1" applyAlignment="1">
      <alignment horizontal="center" textRotation="90" shrinkToFit="1"/>
    </xf>
    <xf numFmtId="164" fontId="3" fillId="0" borderId="1" xfId="0" applyNumberFormat="1" applyFont="1" applyFill="1" applyBorder="1" applyAlignment="1">
      <alignment horizontal="right" vertical="top" shrinkToFit="1"/>
    </xf>
    <xf numFmtId="164" fontId="2" fillId="0" borderId="1" xfId="0" applyNumberFormat="1" applyFont="1" applyFill="1" applyBorder="1" applyAlignment="1">
      <alignment horizontal="right" vertical="top"/>
    </xf>
    <xf numFmtId="4" fontId="2" fillId="0" borderId="1" xfId="0" applyNumberFormat="1" applyFont="1" applyFill="1" applyBorder="1" applyAlignment="1">
      <alignment horizontal="right" vertical="top" shrinkToFit="1"/>
    </xf>
    <xf numFmtId="1" fontId="2" fillId="0" borderId="1" xfId="0" applyNumberFormat="1" applyFont="1" applyBorder="1" applyAlignment="1">
      <alignment horizontal="left" vertical="top" wrapText="1"/>
    </xf>
    <xf numFmtId="1" fontId="2" fillId="0" borderId="1" xfId="0" applyNumberFormat="1" applyFont="1" applyBorder="1" applyAlignment="1">
      <alignment horizontal="left" vertical="top"/>
    </xf>
    <xf numFmtId="164" fontId="2" fillId="0" borderId="1" xfId="0" applyNumberFormat="1" applyFont="1" applyBorder="1" applyAlignment="1">
      <alignment horizontal="right" vertical="top"/>
    </xf>
    <xf numFmtId="3" fontId="2" fillId="0" borderId="1" xfId="0" applyNumberFormat="1" applyFont="1" applyFill="1" applyBorder="1" applyAlignment="1">
      <alignment horizontal="right" vertical="top"/>
    </xf>
    <xf numFmtId="3" fontId="2" fillId="0" borderId="1" xfId="0" applyNumberFormat="1" applyFont="1" applyBorder="1" applyAlignment="1">
      <alignment horizontal="right" vertical="top"/>
    </xf>
    <xf numFmtId="0" fontId="2" fillId="0" borderId="1" xfId="0" applyNumberFormat="1" applyFont="1" applyFill="1" applyBorder="1" applyAlignment="1">
      <alignment horizontal="right" vertical="top"/>
    </xf>
    <xf numFmtId="0" fontId="1" fillId="0" borderId="1" xfId="0" applyFont="1" applyBorder="1" applyAlignment="1">
      <alignment horizontal="left" vertical="top"/>
    </xf>
    <xf numFmtId="164" fontId="3" fillId="0" borderId="1" xfId="0" applyNumberFormat="1" applyFont="1" applyFill="1" applyBorder="1" applyAlignment="1">
      <alignment horizontal="right" vertical="top"/>
    </xf>
    <xf numFmtId="0" fontId="1" fillId="0" borderId="1" xfId="0" applyFont="1" applyFill="1" applyBorder="1" applyAlignment="1">
      <alignment horizontal="left" vertical="top"/>
    </xf>
    <xf numFmtId="3" fontId="3" fillId="0" borderId="1" xfId="0" applyNumberFormat="1" applyFont="1" applyFill="1" applyBorder="1" applyAlignment="1">
      <alignment horizontal="right" vertical="top"/>
    </xf>
    <xf numFmtId="1" fontId="2" fillId="0" borderId="1" xfId="0" applyNumberFormat="1" applyFont="1" applyBorder="1"/>
    <xf numFmtId="164" fontId="2" fillId="0" borderId="1" xfId="0" applyNumberFormat="1" applyFont="1" applyFill="1" applyBorder="1" applyAlignment="1">
      <alignment horizontal="right"/>
    </xf>
    <xf numFmtId="164" fontId="3" fillId="0" borderId="1" xfId="0" applyNumberFormat="1" applyFont="1" applyFill="1" applyBorder="1" applyAlignment="1">
      <alignment horizontal="right"/>
    </xf>
    <xf numFmtId="164" fontId="2" fillId="0" borderId="1" xfId="0" applyNumberFormat="1" applyFont="1" applyBorder="1" applyAlignment="1">
      <alignment horizontal="right"/>
    </xf>
    <xf numFmtId="1" fontId="3" fillId="0" borderId="1" xfId="0" applyNumberFormat="1" applyFont="1" applyFill="1" applyBorder="1" applyAlignment="1">
      <alignment horizontal="left"/>
    </xf>
    <xf numFmtId="3" fontId="2" fillId="0" borderId="1" xfId="0" applyNumberFormat="1" applyFont="1" applyFill="1" applyBorder="1" applyAlignment="1">
      <alignment horizontal="right"/>
    </xf>
    <xf numFmtId="3" fontId="3" fillId="0" borderId="1" xfId="0" applyNumberFormat="1" applyFont="1" applyFill="1" applyBorder="1" applyAlignment="1">
      <alignment horizontal="right"/>
    </xf>
    <xf numFmtId="3" fontId="2" fillId="0" borderId="1" xfId="0" applyNumberFormat="1" applyFont="1" applyBorder="1" applyAlignment="1">
      <alignment horizontal="right"/>
    </xf>
  </cellXfs>
  <cellStyles count="1">
    <cellStyle name="Обычный" xfId="0" builtinId="0"/>
  </cellStyles>
  <dxfs count="4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55"/>
  <sheetViews>
    <sheetView tabSelected="1" zoomScale="85" zoomScaleNormal="85" workbookViewId="0">
      <selection sqref="A1:AV1"/>
    </sheetView>
  </sheetViews>
  <sheetFormatPr defaultRowHeight="15" x14ac:dyDescent="0.25"/>
  <cols>
    <col min="1" max="1" width="4.28515625" bestFit="1" customWidth="1"/>
    <col min="2" max="2" width="48.28515625" bestFit="1" customWidth="1"/>
    <col min="3" max="3" width="8.42578125" bestFit="1" customWidth="1"/>
    <col min="4" max="5" width="10.140625" bestFit="1" customWidth="1"/>
    <col min="6" max="6" width="11" bestFit="1" customWidth="1"/>
    <col min="7" max="7" width="8.7109375" bestFit="1" customWidth="1"/>
    <col min="8" max="8" width="9.85546875" bestFit="1" customWidth="1"/>
    <col min="9" max="9" width="7.7109375" bestFit="1" customWidth="1"/>
    <col min="10" max="10" width="8" customWidth="1"/>
    <col min="11" max="11" width="7.28515625" bestFit="1" customWidth="1"/>
    <col min="12" max="12" width="11.28515625" bestFit="1" customWidth="1"/>
  </cols>
  <sheetData>
    <row r="1" spans="1:48" ht="15.75" customHeight="1" x14ac:dyDescent="0.25">
      <c r="A1" s="1" t="s">
        <v>49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</row>
    <row r="2" spans="1:48" ht="32.450000000000003" customHeight="1" x14ac:dyDescent="0.25">
      <c r="A2" s="2" t="s">
        <v>0</v>
      </c>
      <c r="B2" s="3" t="s">
        <v>1</v>
      </c>
      <c r="C2" s="4" t="s">
        <v>2</v>
      </c>
      <c r="D2" s="5" t="s">
        <v>50</v>
      </c>
      <c r="E2" s="5" t="s">
        <v>51</v>
      </c>
      <c r="F2" s="5" t="s">
        <v>52</v>
      </c>
      <c r="G2" s="5" t="s">
        <v>53</v>
      </c>
      <c r="H2" s="5" t="s">
        <v>54</v>
      </c>
      <c r="I2" s="5" t="s">
        <v>55</v>
      </c>
      <c r="J2" s="5" t="s">
        <v>56</v>
      </c>
      <c r="K2" s="5" t="s">
        <v>57</v>
      </c>
      <c r="L2" s="5" t="s">
        <v>58</v>
      </c>
      <c r="M2" s="5" t="s">
        <v>59</v>
      </c>
      <c r="N2" s="5" t="s">
        <v>60</v>
      </c>
      <c r="O2" s="5" t="s">
        <v>61</v>
      </c>
      <c r="P2" s="5" t="s">
        <v>62</v>
      </c>
      <c r="Q2" s="5" t="s">
        <v>63</v>
      </c>
      <c r="R2" s="5" t="s">
        <v>64</v>
      </c>
      <c r="S2" s="5" t="s">
        <v>65</v>
      </c>
      <c r="T2" s="5" t="s">
        <v>66</v>
      </c>
      <c r="U2" s="5" t="s">
        <v>67</v>
      </c>
      <c r="V2" s="5" t="s">
        <v>68</v>
      </c>
      <c r="W2" s="5" t="s">
        <v>69</v>
      </c>
      <c r="X2" s="5" t="s">
        <v>70</v>
      </c>
      <c r="Y2" s="5" t="s">
        <v>71</v>
      </c>
      <c r="Z2" s="5" t="s">
        <v>72</v>
      </c>
      <c r="AA2" s="5" t="s">
        <v>73</v>
      </c>
      <c r="AB2" s="5" t="s">
        <v>74</v>
      </c>
      <c r="AC2" s="5" t="s">
        <v>75</v>
      </c>
      <c r="AD2" s="5" t="s">
        <v>76</v>
      </c>
      <c r="AE2" s="5" t="s">
        <v>77</v>
      </c>
      <c r="AF2" s="5" t="s">
        <v>78</v>
      </c>
      <c r="AG2" s="5" t="s">
        <v>79</v>
      </c>
      <c r="AH2" s="5" t="s">
        <v>80</v>
      </c>
      <c r="AI2" s="5" t="s">
        <v>81</v>
      </c>
      <c r="AJ2" s="5" t="s">
        <v>82</v>
      </c>
      <c r="AK2" s="5" t="s">
        <v>83</v>
      </c>
      <c r="AL2" s="5" t="s">
        <v>84</v>
      </c>
      <c r="AM2" s="5" t="s">
        <v>85</v>
      </c>
      <c r="AN2" s="5" t="s">
        <v>86</v>
      </c>
      <c r="AO2" s="5" t="s">
        <v>87</v>
      </c>
      <c r="AP2" s="5" t="s">
        <v>88</v>
      </c>
      <c r="AQ2" s="5" t="s">
        <v>89</v>
      </c>
      <c r="AR2" s="5" t="s">
        <v>90</v>
      </c>
      <c r="AS2" s="6" t="s">
        <v>91</v>
      </c>
      <c r="AT2" s="5" t="s">
        <v>92</v>
      </c>
      <c r="AU2" s="5" t="s">
        <v>93</v>
      </c>
      <c r="AV2" s="7" t="s">
        <v>94</v>
      </c>
    </row>
    <row r="3" spans="1:48" ht="29.25" x14ac:dyDescent="0.25">
      <c r="A3" s="2"/>
      <c r="B3" s="3"/>
      <c r="C3" s="4"/>
      <c r="D3" s="5" t="s">
        <v>3</v>
      </c>
      <c r="E3" s="5" t="s">
        <v>3</v>
      </c>
      <c r="F3" s="5" t="s">
        <v>3</v>
      </c>
      <c r="G3" s="5" t="s">
        <v>3</v>
      </c>
      <c r="H3" s="5" t="s">
        <v>3</v>
      </c>
      <c r="I3" s="5" t="s">
        <v>3</v>
      </c>
      <c r="J3" s="5" t="s">
        <v>3</v>
      </c>
      <c r="K3" s="5" t="s">
        <v>3</v>
      </c>
      <c r="L3" s="5" t="s">
        <v>3</v>
      </c>
      <c r="M3" s="5" t="s">
        <v>3</v>
      </c>
      <c r="N3" s="5" t="s">
        <v>3</v>
      </c>
      <c r="O3" s="5" t="s">
        <v>3</v>
      </c>
      <c r="P3" s="5" t="s">
        <v>3</v>
      </c>
      <c r="Q3" s="5" t="s">
        <v>3</v>
      </c>
      <c r="R3" s="5" t="s">
        <v>3</v>
      </c>
      <c r="S3" s="5" t="s">
        <v>3</v>
      </c>
      <c r="T3" s="5" t="s">
        <v>3</v>
      </c>
      <c r="U3" s="5" t="s">
        <v>3</v>
      </c>
      <c r="V3" s="5" t="s">
        <v>3</v>
      </c>
      <c r="W3" s="5" t="s">
        <v>3</v>
      </c>
      <c r="X3" s="5" t="s">
        <v>3</v>
      </c>
      <c r="Y3" s="5" t="s">
        <v>3</v>
      </c>
      <c r="Z3" s="5" t="s">
        <v>3</v>
      </c>
      <c r="AA3" s="5" t="s">
        <v>3</v>
      </c>
      <c r="AB3" s="5" t="s">
        <v>3</v>
      </c>
      <c r="AC3" s="5" t="s">
        <v>3</v>
      </c>
      <c r="AD3" s="5" t="s">
        <v>3</v>
      </c>
      <c r="AE3" s="5" t="s">
        <v>3</v>
      </c>
      <c r="AF3" s="5" t="s">
        <v>3</v>
      </c>
      <c r="AG3" s="5" t="s">
        <v>3</v>
      </c>
      <c r="AH3" s="5" t="s">
        <v>3</v>
      </c>
      <c r="AI3" s="5" t="s">
        <v>3</v>
      </c>
      <c r="AJ3" s="5" t="s">
        <v>3</v>
      </c>
      <c r="AK3" s="5" t="s">
        <v>3</v>
      </c>
      <c r="AL3" s="5" t="s">
        <v>3</v>
      </c>
      <c r="AM3" s="5" t="s">
        <v>3</v>
      </c>
      <c r="AN3" s="5" t="s">
        <v>3</v>
      </c>
      <c r="AO3" s="5" t="s">
        <v>3</v>
      </c>
      <c r="AP3" s="5" t="s">
        <v>3</v>
      </c>
      <c r="AQ3" s="5" t="s">
        <v>3</v>
      </c>
      <c r="AR3" s="5" t="s">
        <v>3</v>
      </c>
      <c r="AS3" s="5" t="s">
        <v>3</v>
      </c>
      <c r="AT3" s="5" t="s">
        <v>3</v>
      </c>
      <c r="AU3" s="5" t="s">
        <v>3</v>
      </c>
      <c r="AV3" s="7"/>
    </row>
    <row r="4" spans="1:48" ht="15.75" x14ac:dyDescent="0.25">
      <c r="A4" s="8">
        <v>1</v>
      </c>
      <c r="B4" s="9" t="s">
        <v>4</v>
      </c>
      <c r="C4" s="10" t="s">
        <v>5</v>
      </c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2">
        <v>30</v>
      </c>
      <c r="T4" s="11"/>
      <c r="U4" s="12">
        <f>31+31+31+62</f>
        <v>155</v>
      </c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3"/>
      <c r="AT4" s="11"/>
      <c r="AU4" s="11"/>
      <c r="AV4" s="11">
        <f>SUM(D4:AU4)</f>
        <v>185</v>
      </c>
    </row>
    <row r="5" spans="1:48" ht="15.75" x14ac:dyDescent="0.25">
      <c r="A5" s="8">
        <v>2</v>
      </c>
      <c r="B5" s="9" t="s">
        <v>6</v>
      </c>
      <c r="C5" s="10" t="s">
        <v>5</v>
      </c>
      <c r="D5" s="12"/>
      <c r="E5" s="12">
        <f>11+10+29+11</f>
        <v>61</v>
      </c>
      <c r="F5" s="12"/>
      <c r="G5" s="12"/>
      <c r="H5" s="12"/>
      <c r="I5" s="12"/>
      <c r="J5" s="12"/>
      <c r="K5" s="12"/>
      <c r="L5" s="12"/>
      <c r="M5" s="12"/>
      <c r="N5" s="12"/>
      <c r="O5" s="12">
        <f>8+30+57+38+42+78+25+29+58+94+39</f>
        <v>498</v>
      </c>
      <c r="P5" s="12">
        <f>19+4+4+20+14+4+2+4</f>
        <v>71</v>
      </c>
      <c r="Q5" s="12">
        <f>4+4+4+7+10</f>
        <v>29</v>
      </c>
      <c r="R5" s="12"/>
      <c r="S5" s="12"/>
      <c r="T5" s="12"/>
      <c r="U5" s="12"/>
      <c r="V5" s="12"/>
      <c r="W5" s="12"/>
      <c r="X5" s="12"/>
      <c r="Y5" s="12">
        <v>1</v>
      </c>
      <c r="Z5" s="12"/>
      <c r="AA5" s="12"/>
      <c r="AB5" s="12"/>
      <c r="AC5" s="12"/>
      <c r="AD5" s="12"/>
      <c r="AE5" s="12"/>
      <c r="AF5" s="12"/>
      <c r="AG5" s="12">
        <v>8</v>
      </c>
      <c r="AH5" s="12"/>
      <c r="AI5" s="12"/>
      <c r="AJ5" s="12"/>
      <c r="AK5" s="12"/>
      <c r="AL5" s="12"/>
      <c r="AM5" s="12"/>
      <c r="AN5" s="12"/>
      <c r="AO5" s="12"/>
      <c r="AP5" s="12"/>
      <c r="AQ5" s="12">
        <v>3</v>
      </c>
      <c r="AR5" s="12"/>
      <c r="AS5" s="14"/>
      <c r="AT5" s="12"/>
      <c r="AU5" s="12"/>
      <c r="AV5" s="11">
        <f t="shared" ref="AV5:AV55" si="0">SUM(D5:AU5)</f>
        <v>671</v>
      </c>
    </row>
    <row r="6" spans="1:48" ht="15.75" x14ac:dyDescent="0.25">
      <c r="A6" s="8">
        <v>3</v>
      </c>
      <c r="B6" s="9" t="s">
        <v>7</v>
      </c>
      <c r="C6" s="15" t="s">
        <v>8</v>
      </c>
      <c r="D6" s="16">
        <f>1368+1584+1992+3744+2976+3576+2400+3883.608+4151.54+3625.5+3523.8+3984</f>
        <v>36808.448000000004</v>
      </c>
      <c r="E6" s="16"/>
      <c r="F6" s="16"/>
      <c r="G6" s="16"/>
      <c r="H6" s="16">
        <f>274.937+1293.05+1037.522+554.724+692.591+1699.72+168.452+511.703+764.279+514.205+227.82+407.984</f>
        <v>8146.987000000001</v>
      </c>
      <c r="I6" s="16"/>
      <c r="J6" s="16"/>
      <c r="K6" s="16"/>
      <c r="L6" s="16">
        <f>20.4+20.4</f>
        <v>40.799999999999997</v>
      </c>
      <c r="M6" s="16">
        <v>66</v>
      </c>
      <c r="N6" s="16"/>
      <c r="O6" s="16">
        <f>40.883+20.28+40.8+40.8+40.8+40.8+40.8</f>
        <v>265.16300000000001</v>
      </c>
      <c r="P6" s="16">
        <f>40.575+20+20</f>
        <v>80.575000000000003</v>
      </c>
      <c r="Q6" s="16">
        <f>247.58+20.7+455.4+330.41+392.6+558.21+269.1+186.3+124.2+434.7+372.6+227.7+248.4</f>
        <v>3867.8999999999996</v>
      </c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>
        <f>19.8+60.29</f>
        <v>80.09</v>
      </c>
      <c r="AF6" s="16"/>
      <c r="AG6" s="16">
        <v>20</v>
      </c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>
        <v>20</v>
      </c>
      <c r="AS6" s="17"/>
      <c r="AT6" s="16"/>
      <c r="AU6" s="16"/>
      <c r="AV6" s="18">
        <f t="shared" si="0"/>
        <v>49395.963000000003</v>
      </c>
    </row>
    <row r="7" spans="1:48" ht="15.75" x14ac:dyDescent="0.25">
      <c r="A7" s="8">
        <v>4</v>
      </c>
      <c r="B7" s="9" t="s">
        <v>28</v>
      </c>
      <c r="C7" s="15" t="s">
        <v>8</v>
      </c>
      <c r="D7" s="16"/>
      <c r="E7" s="16">
        <f>61+42+42</f>
        <v>145</v>
      </c>
      <c r="F7" s="16"/>
      <c r="G7" s="16"/>
      <c r="H7" s="16"/>
      <c r="I7" s="16"/>
      <c r="J7" s="16"/>
      <c r="K7" s="16"/>
      <c r="L7" s="16"/>
      <c r="M7" s="16"/>
      <c r="N7" s="16">
        <f>63+41+168+42+105+21+126+60+231+21</f>
        <v>878</v>
      </c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>
        <v>21</v>
      </c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8"/>
      <c r="AT7" s="16"/>
      <c r="AU7" s="16"/>
      <c r="AV7" s="18">
        <f t="shared" si="0"/>
        <v>1044</v>
      </c>
    </row>
    <row r="8" spans="1:48" ht="15.75" x14ac:dyDescent="0.25">
      <c r="A8" s="8">
        <v>5</v>
      </c>
      <c r="B8" s="9" t="s">
        <v>95</v>
      </c>
      <c r="C8" s="15" t="s">
        <v>8</v>
      </c>
      <c r="D8" s="19"/>
      <c r="E8" s="16"/>
      <c r="F8" s="16"/>
      <c r="G8" s="16"/>
      <c r="H8" s="16">
        <f>18.883+19.5+19.5+18.5</f>
        <v>76.382999999999996</v>
      </c>
      <c r="I8" s="16"/>
      <c r="J8" s="16">
        <f>0.55+0.076+0.549</f>
        <v>1.175</v>
      </c>
      <c r="K8" s="16"/>
      <c r="L8" s="16"/>
      <c r="M8" s="16">
        <v>19.600000000000001</v>
      </c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>
        <v>0.72</v>
      </c>
      <c r="AQ8" s="16"/>
      <c r="AR8" s="16"/>
      <c r="AS8" s="16"/>
      <c r="AT8" s="16"/>
      <c r="AU8" s="16"/>
      <c r="AV8" s="18">
        <f t="shared" si="0"/>
        <v>97.877999999999986</v>
      </c>
    </row>
    <row r="9" spans="1:48" ht="15.75" x14ac:dyDescent="0.25">
      <c r="A9" s="8">
        <v>6</v>
      </c>
      <c r="B9" s="9" t="s">
        <v>23</v>
      </c>
      <c r="C9" s="15" t="s">
        <v>8</v>
      </c>
      <c r="D9" s="19">
        <f>53.2+26.5+0.5+52.173+65+84+135+53.5+53</f>
        <v>522.87300000000005</v>
      </c>
      <c r="E9" s="16"/>
      <c r="F9" s="16"/>
      <c r="G9" s="16"/>
      <c r="H9" s="16"/>
      <c r="I9" s="16"/>
      <c r="J9" s="16"/>
      <c r="K9" s="16"/>
      <c r="L9" s="16"/>
      <c r="M9" s="16">
        <f>24.2+44+44.5+22.5+66+22</f>
        <v>223.2</v>
      </c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>
        <v>0.18</v>
      </c>
      <c r="AE9" s="16"/>
      <c r="AF9" s="16">
        <v>20</v>
      </c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8">
        <f t="shared" si="0"/>
        <v>766.25300000000004</v>
      </c>
    </row>
    <row r="10" spans="1:48" ht="15.75" x14ac:dyDescent="0.25">
      <c r="A10" s="8">
        <v>7</v>
      </c>
      <c r="B10" s="9" t="s">
        <v>16</v>
      </c>
      <c r="C10" s="15" t="s">
        <v>8</v>
      </c>
      <c r="D10" s="16">
        <f>20+20+20</f>
        <v>60</v>
      </c>
      <c r="E10" s="16">
        <v>0.2</v>
      </c>
      <c r="F10" s="16"/>
      <c r="G10" s="16">
        <v>19.62</v>
      </c>
      <c r="H10" s="16"/>
      <c r="I10" s="20">
        <v>1.7000000000000001E-2</v>
      </c>
      <c r="J10" s="16"/>
      <c r="K10" s="16"/>
      <c r="L10" s="16">
        <v>33.578000000000003</v>
      </c>
      <c r="M10" s="16"/>
      <c r="N10" s="16"/>
      <c r="O10" s="16"/>
      <c r="P10" s="16">
        <v>18.192</v>
      </c>
      <c r="Q10" s="16">
        <f>57.63+94.259+76.467+18.251+128.882+96.303+112.163+77.86+36.997+70.033+118+155.639</f>
        <v>1042.4839999999999</v>
      </c>
      <c r="R10" s="16"/>
      <c r="S10" s="16"/>
      <c r="T10" s="16">
        <f>19.48+38.4+36.9+38+18.634</f>
        <v>151.41399999999999</v>
      </c>
      <c r="U10" s="16"/>
      <c r="V10" s="16"/>
      <c r="W10" s="16"/>
      <c r="X10" s="16"/>
      <c r="Y10" s="16"/>
      <c r="Z10" s="16">
        <v>17.5</v>
      </c>
      <c r="AA10" s="16">
        <v>17.902999999999999</v>
      </c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>
        <v>13.564</v>
      </c>
      <c r="AN10" s="16"/>
      <c r="AO10" s="16"/>
      <c r="AP10" s="16"/>
      <c r="AQ10" s="16"/>
      <c r="AR10" s="16"/>
      <c r="AS10" s="16">
        <v>0.16900000000000001</v>
      </c>
      <c r="AT10" s="16"/>
      <c r="AU10" s="16"/>
      <c r="AV10" s="18">
        <f t="shared" si="0"/>
        <v>1374.6410000000001</v>
      </c>
    </row>
    <row r="11" spans="1:48" ht="15.75" x14ac:dyDescent="0.25">
      <c r="A11" s="8">
        <v>8</v>
      </c>
      <c r="B11" s="9" t="s">
        <v>26</v>
      </c>
      <c r="C11" s="15" t="s">
        <v>8</v>
      </c>
      <c r="D11" s="16">
        <f>27+28+28+55.9+28</f>
        <v>166.9</v>
      </c>
      <c r="E11" s="16"/>
      <c r="F11" s="16"/>
      <c r="G11" s="16"/>
      <c r="H11" s="16"/>
      <c r="I11" s="16"/>
      <c r="J11" s="16">
        <f>20.85+39.9+21+78.975+21.1+20.95+20.975+21.425</f>
        <v>245.17499999999998</v>
      </c>
      <c r="K11" s="16"/>
      <c r="L11" s="16"/>
      <c r="M11" s="16">
        <f>66+22+88+44.1+22+24</f>
        <v>266.10000000000002</v>
      </c>
      <c r="N11" s="16">
        <f>65+22+23+23+84.11+23+23</f>
        <v>263.11</v>
      </c>
      <c r="O11" s="16">
        <f>65+62.5+190.015+442.435+380+253.75+816.25+445+317.8+124.98</f>
        <v>3097.73</v>
      </c>
      <c r="P11" s="16">
        <v>255</v>
      </c>
      <c r="Q11" s="16"/>
      <c r="R11" s="16"/>
      <c r="S11" s="16"/>
      <c r="T11" s="16"/>
      <c r="U11" s="16"/>
      <c r="V11" s="16"/>
      <c r="W11" s="16">
        <f>43+21.5</f>
        <v>64.5</v>
      </c>
      <c r="X11" s="16"/>
      <c r="Y11" s="16"/>
      <c r="Z11" s="16"/>
      <c r="AA11" s="16">
        <f>21.5+21.5+21.6+64.5+21.5+86+43+21.5+43+21.5+43+211.952</f>
        <v>620.55200000000002</v>
      </c>
      <c r="AB11" s="16"/>
      <c r="AC11" s="16"/>
      <c r="AD11" s="16"/>
      <c r="AE11" s="16">
        <f>60+64.3</f>
        <v>124.3</v>
      </c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8">
        <f t="shared" si="0"/>
        <v>5103.3669999999993</v>
      </c>
    </row>
    <row r="12" spans="1:48" ht="15.75" x14ac:dyDescent="0.25">
      <c r="A12" s="8">
        <v>9</v>
      </c>
      <c r="B12" s="9" t="s">
        <v>30</v>
      </c>
      <c r="C12" s="15" t="s">
        <v>8</v>
      </c>
      <c r="D12" s="16">
        <f>26.496+24.9479+22.78+27.454</f>
        <v>101.67789999999999</v>
      </c>
      <c r="E12" s="16"/>
      <c r="F12" s="16"/>
      <c r="G12" s="16"/>
      <c r="H12" s="16"/>
      <c r="I12" s="16">
        <v>5.7500000000000002E-2</v>
      </c>
      <c r="J12" s="16"/>
      <c r="K12" s="16">
        <v>8.58</v>
      </c>
      <c r="L12" s="16"/>
      <c r="M12" s="16">
        <f>1.032+0.217+0.024</f>
        <v>1.2730000000000001</v>
      </c>
      <c r="N12" s="16"/>
      <c r="O12" s="16"/>
      <c r="P12" s="16"/>
      <c r="Q12" s="16"/>
      <c r="R12" s="16">
        <v>20.983000000000001</v>
      </c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8">
        <f t="shared" si="0"/>
        <v>132.57139999999998</v>
      </c>
    </row>
    <row r="13" spans="1:48" ht="15.75" x14ac:dyDescent="0.25">
      <c r="A13" s="8">
        <v>10</v>
      </c>
      <c r="B13" s="9" t="s">
        <v>27</v>
      </c>
      <c r="C13" s="15" t="s">
        <v>8</v>
      </c>
      <c r="D13" s="16">
        <v>24.484999999999999</v>
      </c>
      <c r="E13" s="16"/>
      <c r="F13" s="16"/>
      <c r="G13" s="16"/>
      <c r="H13" s="16">
        <f>20.7+21.927+21.4</f>
        <v>64.026999999999987</v>
      </c>
      <c r="I13" s="16"/>
      <c r="J13" s="16"/>
      <c r="K13" s="16"/>
      <c r="L13" s="16"/>
      <c r="M13" s="16">
        <f>20.5+16.6+21</f>
        <v>58.1</v>
      </c>
      <c r="N13" s="16"/>
      <c r="O13" s="16"/>
      <c r="P13" s="16"/>
      <c r="Q13" s="16"/>
      <c r="R13" s="16"/>
      <c r="S13" s="16"/>
      <c r="T13" s="16"/>
      <c r="U13" s="16">
        <f>23.163+22.456</f>
        <v>45.619</v>
      </c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8">
        <f t="shared" si="0"/>
        <v>192.23099999999999</v>
      </c>
    </row>
    <row r="14" spans="1:48" ht="15.75" x14ac:dyDescent="0.25">
      <c r="A14" s="8">
        <v>11</v>
      </c>
      <c r="B14" s="9" t="s">
        <v>40</v>
      </c>
      <c r="C14" s="10" t="s">
        <v>18</v>
      </c>
      <c r="D14" s="12"/>
      <c r="E14" s="12">
        <f>10000+27890</f>
        <v>37890</v>
      </c>
      <c r="F14" s="12">
        <v>450000</v>
      </c>
      <c r="G14" s="12"/>
      <c r="H14" s="12"/>
      <c r="I14" s="12">
        <f>300000+50000+500000+200000+650000</f>
        <v>1700000</v>
      </c>
      <c r="J14" s="12">
        <f>500000+300000+500000+500000+2540000+2700000+2100000</f>
        <v>9140000</v>
      </c>
      <c r="K14" s="12">
        <f>770000+1980000+720000+715000+550000+300000+120000+770000+1340000+700000</f>
        <v>7965000</v>
      </c>
      <c r="L14" s="12">
        <f>925000+1660000+2175000+1550000+1000000+550000+2820000+100000+600000+1600000+500000</f>
        <v>13480000</v>
      </c>
      <c r="M14" s="12">
        <f>200000+1050000+270000+220000+120000+140000+380000+820000+1110000+580000+440000</f>
        <v>5330000</v>
      </c>
      <c r="N14" s="12">
        <v>160000</v>
      </c>
      <c r="O14" s="12"/>
      <c r="P14" s="12"/>
      <c r="Q14" s="12"/>
      <c r="R14" s="12"/>
      <c r="S14" s="12"/>
      <c r="T14" s="12"/>
      <c r="U14" s="12"/>
      <c r="V14" s="12">
        <f>1800000+800000+450000+1200000+2125000+750000</f>
        <v>7125000</v>
      </c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>
        <f>144000+144000+25000+6400+139000</f>
        <v>458400</v>
      </c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>
        <f>947500+200000+550000</f>
        <v>1697500</v>
      </c>
      <c r="AV14" s="11">
        <f t="shared" si="0"/>
        <v>47543790</v>
      </c>
    </row>
    <row r="15" spans="1:48" ht="15.75" x14ac:dyDescent="0.25">
      <c r="A15" s="8">
        <v>12</v>
      </c>
      <c r="B15" s="9" t="s">
        <v>25</v>
      </c>
      <c r="C15" s="10" t="s">
        <v>8</v>
      </c>
      <c r="D15" s="16"/>
      <c r="E15" s="16"/>
      <c r="F15" s="16"/>
      <c r="G15" s="16"/>
      <c r="H15" s="16"/>
      <c r="I15" s="16">
        <f>20.205+16.385</f>
        <v>36.590000000000003</v>
      </c>
      <c r="J15" s="16"/>
      <c r="K15" s="16"/>
      <c r="L15" s="16"/>
      <c r="M15" s="16">
        <f>20.538+20+21.5</f>
        <v>62.037999999999997</v>
      </c>
      <c r="N15" s="16"/>
      <c r="O15" s="16">
        <f>34.445+17.136+17.136+16.898+17.136</f>
        <v>102.75099999999999</v>
      </c>
      <c r="P15" s="16"/>
      <c r="Q15" s="16"/>
      <c r="R15" s="16"/>
      <c r="S15" s="16"/>
      <c r="T15" s="16"/>
      <c r="U15" s="16">
        <v>19.739999999999998</v>
      </c>
      <c r="V15" s="16"/>
      <c r="W15" s="16"/>
      <c r="X15" s="16"/>
      <c r="Y15" s="16"/>
      <c r="Z15" s="16"/>
      <c r="AA15" s="16">
        <f>2.15+20.491+17.626+38.025+35.25+17.625+52.509</f>
        <v>183.67599999999999</v>
      </c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8">
        <f t="shared" si="0"/>
        <v>404.79499999999996</v>
      </c>
    </row>
    <row r="16" spans="1:48" ht="15.75" x14ac:dyDescent="0.25">
      <c r="A16" s="8">
        <v>13</v>
      </c>
      <c r="B16" s="9" t="s">
        <v>33</v>
      </c>
      <c r="C16" s="10" t="s">
        <v>8</v>
      </c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>
        <v>0.1</v>
      </c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8">
        <f t="shared" si="0"/>
        <v>0.1</v>
      </c>
    </row>
    <row r="17" spans="1:48" ht="15.75" x14ac:dyDescent="0.25">
      <c r="A17" s="8">
        <v>14</v>
      </c>
      <c r="B17" s="9" t="s">
        <v>96</v>
      </c>
      <c r="C17" s="10" t="s">
        <v>18</v>
      </c>
      <c r="D17" s="12"/>
      <c r="E17" s="12">
        <f>156960+156960+78480+156960+155280+78480+235440+156960+293040+329760+235440+272160</f>
        <v>2305920</v>
      </c>
      <c r="F17" s="12"/>
      <c r="G17" s="12"/>
      <c r="H17" s="12"/>
      <c r="I17" s="12">
        <f>10000+6000</f>
        <v>16000</v>
      </c>
      <c r="J17" s="12"/>
      <c r="K17" s="12"/>
      <c r="L17" s="12"/>
      <c r="M17" s="12">
        <f>61560+299880+480600+463760+665280+734760+923400+800280+492480+861840</f>
        <v>5783840</v>
      </c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1">
        <f t="shared" si="0"/>
        <v>8105760</v>
      </c>
    </row>
    <row r="18" spans="1:48" ht="15.75" x14ac:dyDescent="0.25">
      <c r="A18" s="8">
        <v>15</v>
      </c>
      <c r="B18" s="9" t="s">
        <v>31</v>
      </c>
      <c r="C18" s="10" t="s">
        <v>5</v>
      </c>
      <c r="D18" s="12"/>
      <c r="E18" s="12">
        <f>85000+86000+105000+165750+87000+66000+65000+50000</f>
        <v>709750</v>
      </c>
      <c r="F18" s="12"/>
      <c r="G18" s="12"/>
      <c r="H18" s="12"/>
      <c r="I18" s="12"/>
      <c r="J18" s="12"/>
      <c r="K18" s="12"/>
      <c r="L18" s="12"/>
      <c r="M18" s="12">
        <v>14040</v>
      </c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>
        <f>39780+39780</f>
        <v>79560</v>
      </c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1">
        <f t="shared" si="0"/>
        <v>803350</v>
      </c>
    </row>
    <row r="19" spans="1:48" ht="15.75" x14ac:dyDescent="0.25">
      <c r="A19" s="8">
        <v>16</v>
      </c>
      <c r="B19" s="9" t="s">
        <v>39</v>
      </c>
      <c r="C19" s="10" t="s">
        <v>8</v>
      </c>
      <c r="D19" s="16">
        <v>0.8</v>
      </c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8">
        <f t="shared" si="0"/>
        <v>0.8</v>
      </c>
    </row>
    <row r="20" spans="1:48" ht="15.75" x14ac:dyDescent="0.25">
      <c r="A20" s="8">
        <v>17</v>
      </c>
      <c r="B20" s="9" t="s">
        <v>97</v>
      </c>
      <c r="C20" s="10" t="s">
        <v>8</v>
      </c>
      <c r="D20" s="16">
        <f>0.6+20</f>
        <v>20.6</v>
      </c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8">
        <f t="shared" si="0"/>
        <v>20.6</v>
      </c>
    </row>
    <row r="21" spans="1:48" ht="15.75" x14ac:dyDescent="0.25">
      <c r="A21" s="8">
        <v>18</v>
      </c>
      <c r="B21" s="21" t="s">
        <v>15</v>
      </c>
      <c r="C21" s="22" t="s">
        <v>8</v>
      </c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>
        <v>6.5</v>
      </c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23"/>
      <c r="AK21" s="23"/>
      <c r="AL21" s="23"/>
      <c r="AM21" s="23"/>
      <c r="AN21" s="23"/>
      <c r="AO21" s="23"/>
      <c r="AP21" s="23"/>
      <c r="AQ21" s="23"/>
      <c r="AR21" s="23"/>
      <c r="AS21" s="16"/>
      <c r="AT21" s="23"/>
      <c r="AU21" s="23"/>
      <c r="AV21" s="18">
        <f t="shared" si="0"/>
        <v>6.5</v>
      </c>
    </row>
    <row r="22" spans="1:48" ht="15.75" x14ac:dyDescent="0.25">
      <c r="A22" s="8">
        <v>19</v>
      </c>
      <c r="B22" s="21" t="s">
        <v>9</v>
      </c>
      <c r="C22" s="22" t="s">
        <v>8</v>
      </c>
      <c r="D22" s="19"/>
      <c r="E22" s="19"/>
      <c r="F22" s="19"/>
      <c r="G22" s="19"/>
      <c r="H22" s="19">
        <f>19.85+40.699</f>
        <v>60.548999999999999</v>
      </c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23"/>
      <c r="AK22" s="23"/>
      <c r="AL22" s="23"/>
      <c r="AM22" s="23"/>
      <c r="AN22" s="23">
        <v>20</v>
      </c>
      <c r="AO22" s="23"/>
      <c r="AP22" s="23"/>
      <c r="AQ22" s="23"/>
      <c r="AR22" s="23"/>
      <c r="AS22" s="16"/>
      <c r="AT22" s="23">
        <v>66</v>
      </c>
      <c r="AU22" s="23"/>
      <c r="AV22" s="18">
        <f t="shared" si="0"/>
        <v>146.54900000000001</v>
      </c>
    </row>
    <row r="23" spans="1:48" ht="15.75" x14ac:dyDescent="0.25">
      <c r="A23" s="8">
        <v>20</v>
      </c>
      <c r="B23" s="21" t="s">
        <v>22</v>
      </c>
      <c r="C23" s="22" t="s">
        <v>8</v>
      </c>
      <c r="D23" s="19">
        <v>53.6</v>
      </c>
      <c r="E23" s="19"/>
      <c r="F23" s="19"/>
      <c r="G23" s="19"/>
      <c r="H23" s="19"/>
      <c r="I23" s="19"/>
      <c r="J23" s="19"/>
      <c r="K23" s="19"/>
      <c r="L23" s="19"/>
      <c r="M23" s="19">
        <f>22+22+44</f>
        <v>88</v>
      </c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>
        <v>22</v>
      </c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23"/>
      <c r="AK23" s="23"/>
      <c r="AL23" s="23"/>
      <c r="AM23" s="23"/>
      <c r="AN23" s="23"/>
      <c r="AO23" s="23"/>
      <c r="AP23" s="23"/>
      <c r="AQ23" s="23"/>
      <c r="AR23" s="23"/>
      <c r="AS23" s="16"/>
      <c r="AT23" s="23"/>
      <c r="AU23" s="23"/>
      <c r="AV23" s="18">
        <f t="shared" si="0"/>
        <v>163.6</v>
      </c>
    </row>
    <row r="24" spans="1:48" ht="15.75" x14ac:dyDescent="0.25">
      <c r="A24" s="8">
        <v>21</v>
      </c>
      <c r="B24" s="21" t="s">
        <v>41</v>
      </c>
      <c r="C24" s="22" t="s">
        <v>18</v>
      </c>
      <c r="D24" s="24"/>
      <c r="E24" s="24"/>
      <c r="F24" s="24"/>
      <c r="G24" s="24"/>
      <c r="H24" s="24"/>
      <c r="I24" s="24">
        <v>9000</v>
      </c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5"/>
      <c r="AK24" s="25"/>
      <c r="AL24" s="25"/>
      <c r="AM24" s="25"/>
      <c r="AN24" s="25"/>
      <c r="AO24" s="25"/>
      <c r="AP24" s="25"/>
      <c r="AQ24" s="25"/>
      <c r="AR24" s="25"/>
      <c r="AS24" s="25"/>
      <c r="AT24" s="25"/>
      <c r="AU24" s="25"/>
      <c r="AV24" s="11">
        <f t="shared" si="0"/>
        <v>9000</v>
      </c>
    </row>
    <row r="25" spans="1:48" ht="15.75" x14ac:dyDescent="0.25">
      <c r="A25" s="8">
        <v>22</v>
      </c>
      <c r="B25" s="21" t="s">
        <v>42</v>
      </c>
      <c r="C25" s="22" t="s">
        <v>18</v>
      </c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>
        <v>10000</v>
      </c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25">
        <v>600</v>
      </c>
      <c r="AK25" s="25"/>
      <c r="AL25" s="25"/>
      <c r="AM25" s="25"/>
      <c r="AN25" s="25"/>
      <c r="AO25" s="25"/>
      <c r="AP25" s="25"/>
      <c r="AQ25" s="25"/>
      <c r="AR25" s="25"/>
      <c r="AS25" s="25"/>
      <c r="AT25" s="25"/>
      <c r="AU25" s="25"/>
      <c r="AV25" s="11">
        <f t="shared" si="0"/>
        <v>10600</v>
      </c>
    </row>
    <row r="26" spans="1:48" ht="15.75" x14ac:dyDescent="0.25">
      <c r="A26" s="8">
        <v>23</v>
      </c>
      <c r="B26" s="21" t="s">
        <v>98</v>
      </c>
      <c r="C26" s="22" t="s">
        <v>8</v>
      </c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>
        <f>3+3</f>
        <v>6</v>
      </c>
      <c r="AD26" s="19"/>
      <c r="AE26" s="19"/>
      <c r="AF26" s="19"/>
      <c r="AG26" s="19"/>
      <c r="AH26" s="19"/>
      <c r="AI26" s="19"/>
      <c r="AJ26" s="23"/>
      <c r="AK26" s="23"/>
      <c r="AL26" s="23"/>
      <c r="AM26" s="23"/>
      <c r="AN26" s="23"/>
      <c r="AO26" s="23"/>
      <c r="AP26" s="23"/>
      <c r="AQ26" s="23"/>
      <c r="AR26" s="23"/>
      <c r="AS26" s="23"/>
      <c r="AT26" s="23"/>
      <c r="AU26" s="23"/>
      <c r="AV26" s="18">
        <f t="shared" si="0"/>
        <v>6</v>
      </c>
    </row>
    <row r="27" spans="1:48" ht="15.75" x14ac:dyDescent="0.25">
      <c r="A27" s="8">
        <v>24</v>
      </c>
      <c r="B27" s="21" t="s">
        <v>20</v>
      </c>
      <c r="C27" s="22" t="s">
        <v>8</v>
      </c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>
        <f>20.936+20.5+21.387</f>
        <v>62.823</v>
      </c>
      <c r="AB27" s="19"/>
      <c r="AC27" s="19"/>
      <c r="AD27" s="19"/>
      <c r="AE27" s="19"/>
      <c r="AF27" s="19"/>
      <c r="AG27" s="19"/>
      <c r="AH27" s="19"/>
      <c r="AI27" s="19"/>
      <c r="AJ27" s="23"/>
      <c r="AK27" s="23"/>
      <c r="AL27" s="23"/>
      <c r="AM27" s="23"/>
      <c r="AN27" s="23"/>
      <c r="AO27" s="23"/>
      <c r="AP27" s="23"/>
      <c r="AQ27" s="23"/>
      <c r="AR27" s="23"/>
      <c r="AS27" s="23"/>
      <c r="AT27" s="23"/>
      <c r="AU27" s="23"/>
      <c r="AV27" s="18">
        <f t="shared" si="0"/>
        <v>62.823</v>
      </c>
    </row>
    <row r="28" spans="1:48" ht="15.75" x14ac:dyDescent="0.25">
      <c r="A28" s="8">
        <v>25</v>
      </c>
      <c r="B28" s="21" t="s">
        <v>35</v>
      </c>
      <c r="C28" s="22" t="s">
        <v>8</v>
      </c>
      <c r="D28" s="19">
        <f>85+25+25+46+37+25+46</f>
        <v>289</v>
      </c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23"/>
      <c r="AK28" s="23"/>
      <c r="AL28" s="23"/>
      <c r="AM28" s="23"/>
      <c r="AN28" s="23"/>
      <c r="AO28" s="23"/>
      <c r="AP28" s="23"/>
      <c r="AQ28" s="23"/>
      <c r="AR28" s="23"/>
      <c r="AS28" s="23"/>
      <c r="AT28" s="23"/>
      <c r="AU28" s="23"/>
      <c r="AV28" s="18">
        <f t="shared" si="0"/>
        <v>289</v>
      </c>
    </row>
    <row r="29" spans="1:48" ht="15.75" x14ac:dyDescent="0.25">
      <c r="A29" s="8">
        <v>26</v>
      </c>
      <c r="B29" s="21" t="s">
        <v>99</v>
      </c>
      <c r="C29" s="22" t="s">
        <v>5</v>
      </c>
      <c r="D29" s="24"/>
      <c r="E29" s="24">
        <f>23310+7797+22424</f>
        <v>53531</v>
      </c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I29" s="24"/>
      <c r="AJ29" s="25"/>
      <c r="AK29" s="25"/>
      <c r="AL29" s="25"/>
      <c r="AM29" s="25"/>
      <c r="AN29" s="25"/>
      <c r="AO29" s="25"/>
      <c r="AP29" s="25"/>
      <c r="AQ29" s="25"/>
      <c r="AR29" s="25"/>
      <c r="AS29" s="25"/>
      <c r="AT29" s="25"/>
      <c r="AU29" s="25"/>
      <c r="AV29" s="11">
        <f t="shared" si="0"/>
        <v>53531</v>
      </c>
    </row>
    <row r="30" spans="1:48" ht="15.75" x14ac:dyDescent="0.25">
      <c r="A30" s="8">
        <v>27</v>
      </c>
      <c r="B30" s="21" t="s">
        <v>17</v>
      </c>
      <c r="C30" s="22" t="s">
        <v>8</v>
      </c>
      <c r="D30" s="19">
        <f>20.992+16.1+17.196</f>
        <v>54.287999999999997</v>
      </c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23"/>
      <c r="AK30" s="23"/>
      <c r="AL30" s="23"/>
      <c r="AM30" s="23"/>
      <c r="AN30" s="23"/>
      <c r="AO30" s="23"/>
      <c r="AP30" s="23"/>
      <c r="AQ30" s="23"/>
      <c r="AR30" s="23"/>
      <c r="AS30" s="23"/>
      <c r="AT30" s="23"/>
      <c r="AU30" s="23"/>
      <c r="AV30" s="18">
        <f t="shared" si="0"/>
        <v>54.287999999999997</v>
      </c>
    </row>
    <row r="31" spans="1:48" ht="15.75" x14ac:dyDescent="0.25">
      <c r="A31" s="8">
        <v>28</v>
      </c>
      <c r="B31" s="21" t="s">
        <v>10</v>
      </c>
      <c r="C31" s="22" t="s">
        <v>8</v>
      </c>
      <c r="D31" s="19"/>
      <c r="E31" s="19"/>
      <c r="F31" s="19"/>
      <c r="G31" s="19"/>
      <c r="H31" s="19">
        <v>38.003999999999998</v>
      </c>
      <c r="I31" s="19"/>
      <c r="J31" s="26">
        <v>0.03</v>
      </c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23"/>
      <c r="AK31" s="23"/>
      <c r="AL31" s="23"/>
      <c r="AM31" s="23"/>
      <c r="AN31" s="23"/>
      <c r="AO31" s="23"/>
      <c r="AP31" s="23"/>
      <c r="AQ31" s="23"/>
      <c r="AR31" s="23"/>
      <c r="AS31" s="23"/>
      <c r="AT31" s="23"/>
      <c r="AU31" s="23"/>
      <c r="AV31" s="18">
        <f t="shared" si="0"/>
        <v>38.033999999999999</v>
      </c>
    </row>
    <row r="32" spans="1:48" ht="15.75" x14ac:dyDescent="0.25">
      <c r="A32" s="8">
        <v>29</v>
      </c>
      <c r="B32" s="27" t="s">
        <v>43</v>
      </c>
      <c r="C32" s="22" t="s">
        <v>44</v>
      </c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>
        <v>3014</v>
      </c>
      <c r="W32" s="24"/>
      <c r="X32" s="24"/>
      <c r="Y32" s="24"/>
      <c r="Z32" s="24"/>
      <c r="AA32" s="24">
        <v>6050</v>
      </c>
      <c r="AB32" s="24"/>
      <c r="AC32" s="24"/>
      <c r="AD32" s="24"/>
      <c r="AE32" s="24"/>
      <c r="AF32" s="24"/>
      <c r="AG32" s="24"/>
      <c r="AH32" s="24"/>
      <c r="AI32" s="24"/>
      <c r="AJ32" s="25"/>
      <c r="AK32" s="25"/>
      <c r="AL32" s="25">
        <v>4465</v>
      </c>
      <c r="AM32" s="25"/>
      <c r="AN32" s="25"/>
      <c r="AO32" s="25"/>
      <c r="AP32" s="25"/>
      <c r="AQ32" s="25"/>
      <c r="AR32" s="25"/>
      <c r="AS32" s="25"/>
      <c r="AT32" s="25"/>
      <c r="AU32" s="25"/>
      <c r="AV32" s="11">
        <f t="shared" si="0"/>
        <v>13529</v>
      </c>
    </row>
    <row r="33" spans="1:48" ht="15.75" x14ac:dyDescent="0.25">
      <c r="A33" s="8">
        <v>30</v>
      </c>
      <c r="B33" s="22" t="s">
        <v>100</v>
      </c>
      <c r="C33" s="22" t="s">
        <v>8</v>
      </c>
      <c r="D33" s="19">
        <f>0.13+0.3</f>
        <v>0.43</v>
      </c>
      <c r="E33" s="19"/>
      <c r="F33" s="19"/>
      <c r="G33" s="19"/>
      <c r="H33" s="19"/>
      <c r="I33" s="19"/>
      <c r="J33" s="19"/>
      <c r="K33" s="19"/>
      <c r="L33" s="19"/>
      <c r="M33" s="19">
        <v>0.24</v>
      </c>
      <c r="N33" s="19"/>
      <c r="O33" s="19"/>
      <c r="P33" s="19"/>
      <c r="Q33" s="19"/>
      <c r="R33" s="19"/>
      <c r="S33" s="19"/>
      <c r="T33" s="19"/>
      <c r="U33" s="28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23"/>
      <c r="AK33" s="23"/>
      <c r="AL33" s="23"/>
      <c r="AM33" s="23"/>
      <c r="AN33" s="23"/>
      <c r="AO33" s="23"/>
      <c r="AP33" s="23"/>
      <c r="AQ33" s="23"/>
      <c r="AR33" s="23"/>
      <c r="AS33" s="23"/>
      <c r="AT33" s="23"/>
      <c r="AU33" s="23"/>
      <c r="AV33" s="18">
        <f t="shared" si="0"/>
        <v>0.66999999999999993</v>
      </c>
    </row>
    <row r="34" spans="1:48" ht="15.75" x14ac:dyDescent="0.25">
      <c r="A34" s="8">
        <v>31</v>
      </c>
      <c r="B34" s="22" t="s">
        <v>11</v>
      </c>
      <c r="C34" s="22" t="s">
        <v>8</v>
      </c>
      <c r="D34" s="19">
        <v>7.2</v>
      </c>
      <c r="E34" s="19"/>
      <c r="F34" s="19"/>
      <c r="G34" s="19"/>
      <c r="H34" s="19"/>
      <c r="I34" s="19"/>
      <c r="J34" s="19"/>
      <c r="K34" s="19"/>
      <c r="L34" s="19"/>
      <c r="M34" s="19">
        <v>14.263</v>
      </c>
      <c r="N34" s="19"/>
      <c r="O34" s="19"/>
      <c r="P34" s="19"/>
      <c r="Q34" s="19"/>
      <c r="R34" s="19"/>
      <c r="S34" s="19"/>
      <c r="T34" s="19"/>
      <c r="U34" s="28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23"/>
      <c r="AK34" s="23"/>
      <c r="AL34" s="23"/>
      <c r="AM34" s="23"/>
      <c r="AN34" s="23"/>
      <c r="AO34" s="23"/>
      <c r="AP34" s="23"/>
      <c r="AQ34" s="23"/>
      <c r="AR34" s="23"/>
      <c r="AS34" s="23"/>
      <c r="AT34" s="23"/>
      <c r="AU34" s="23"/>
      <c r="AV34" s="18">
        <f t="shared" si="0"/>
        <v>21.463000000000001</v>
      </c>
    </row>
    <row r="35" spans="1:48" ht="15.75" x14ac:dyDescent="0.25">
      <c r="A35" s="8">
        <v>32</v>
      </c>
      <c r="B35" s="22" t="s">
        <v>13</v>
      </c>
      <c r="C35" s="22" t="s">
        <v>8</v>
      </c>
      <c r="D35" s="19"/>
      <c r="E35" s="19">
        <f>17.7+8.9+20.5+3.8</f>
        <v>50.9</v>
      </c>
      <c r="F35" s="19"/>
      <c r="G35" s="19"/>
      <c r="H35" s="19"/>
      <c r="I35" s="19"/>
      <c r="J35" s="19"/>
      <c r="K35" s="19"/>
      <c r="L35" s="19"/>
      <c r="M35" s="19">
        <f>12.405+15</f>
        <v>27.405000000000001</v>
      </c>
      <c r="N35" s="19"/>
      <c r="O35" s="19"/>
      <c r="P35" s="19"/>
      <c r="Q35" s="19"/>
      <c r="R35" s="19"/>
      <c r="S35" s="19"/>
      <c r="T35" s="19"/>
      <c r="U35" s="28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23"/>
      <c r="AK35" s="23"/>
      <c r="AL35" s="23"/>
      <c r="AM35" s="23"/>
      <c r="AN35" s="23"/>
      <c r="AO35" s="23"/>
      <c r="AP35" s="23"/>
      <c r="AQ35" s="23"/>
      <c r="AR35" s="23"/>
      <c r="AS35" s="23"/>
      <c r="AT35" s="23"/>
      <c r="AU35" s="23"/>
      <c r="AV35" s="18">
        <f t="shared" si="0"/>
        <v>78.305000000000007</v>
      </c>
    </row>
    <row r="36" spans="1:48" ht="15.75" x14ac:dyDescent="0.25">
      <c r="A36" s="8">
        <v>33</v>
      </c>
      <c r="B36" s="21" t="s">
        <v>37</v>
      </c>
      <c r="C36" s="22" t="s">
        <v>18</v>
      </c>
      <c r="D36" s="24"/>
      <c r="E36" s="24">
        <v>460</v>
      </c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  <c r="AH36" s="24"/>
      <c r="AI36" s="24"/>
      <c r="AJ36" s="25"/>
      <c r="AK36" s="25"/>
      <c r="AL36" s="25"/>
      <c r="AM36" s="25"/>
      <c r="AN36" s="25"/>
      <c r="AO36" s="25"/>
      <c r="AP36" s="25"/>
      <c r="AQ36" s="25"/>
      <c r="AR36" s="25"/>
      <c r="AS36" s="25"/>
      <c r="AT36" s="25"/>
      <c r="AU36" s="25"/>
      <c r="AV36" s="11">
        <f t="shared" si="0"/>
        <v>460</v>
      </c>
    </row>
    <row r="37" spans="1:48" ht="15.75" x14ac:dyDescent="0.25">
      <c r="A37" s="8">
        <v>34</v>
      </c>
      <c r="B37" s="21" t="s">
        <v>36</v>
      </c>
      <c r="C37" s="22" t="s">
        <v>18</v>
      </c>
      <c r="D37" s="24"/>
      <c r="E37" s="24">
        <v>1500</v>
      </c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4"/>
      <c r="AH37" s="24"/>
      <c r="AI37" s="24"/>
      <c r="AJ37" s="25"/>
      <c r="AK37" s="25"/>
      <c r="AL37" s="25"/>
      <c r="AM37" s="25"/>
      <c r="AN37" s="25"/>
      <c r="AO37" s="25"/>
      <c r="AP37" s="25"/>
      <c r="AQ37" s="25"/>
      <c r="AR37" s="25"/>
      <c r="AS37" s="25"/>
      <c r="AT37" s="25"/>
      <c r="AU37" s="25"/>
      <c r="AV37" s="11">
        <f t="shared" si="0"/>
        <v>1500</v>
      </c>
    </row>
    <row r="38" spans="1:48" ht="15.75" x14ac:dyDescent="0.25">
      <c r="A38" s="8">
        <v>35</v>
      </c>
      <c r="B38" s="21" t="s">
        <v>34</v>
      </c>
      <c r="C38" s="22" t="s">
        <v>8</v>
      </c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23"/>
      <c r="AK38" s="23">
        <f>11.3+11.1</f>
        <v>22.4</v>
      </c>
      <c r="AL38" s="23"/>
      <c r="AM38" s="23"/>
      <c r="AN38" s="23"/>
      <c r="AO38" s="23"/>
      <c r="AP38" s="23"/>
      <c r="AQ38" s="23"/>
      <c r="AR38" s="23"/>
      <c r="AS38" s="23"/>
      <c r="AT38" s="23"/>
      <c r="AU38" s="23"/>
      <c r="AV38" s="18">
        <f t="shared" si="0"/>
        <v>22.4</v>
      </c>
    </row>
    <row r="39" spans="1:48" ht="15.75" x14ac:dyDescent="0.25">
      <c r="A39" s="8">
        <v>36</v>
      </c>
      <c r="B39" s="21" t="s">
        <v>24</v>
      </c>
      <c r="C39" s="22" t="s">
        <v>8</v>
      </c>
      <c r="D39" s="19"/>
      <c r="E39" s="19"/>
      <c r="F39" s="19"/>
      <c r="G39" s="19"/>
      <c r="H39" s="19"/>
      <c r="I39" s="19"/>
      <c r="J39" s="19"/>
      <c r="K39" s="19"/>
      <c r="L39" s="19"/>
      <c r="M39" s="19">
        <v>42.295000000000002</v>
      </c>
      <c r="N39" s="19"/>
      <c r="O39" s="19"/>
      <c r="P39" s="19"/>
      <c r="Q39" s="19">
        <v>12.36</v>
      </c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23"/>
      <c r="AK39" s="23"/>
      <c r="AL39" s="23"/>
      <c r="AM39" s="23"/>
      <c r="AN39" s="23"/>
      <c r="AO39" s="23"/>
      <c r="AP39" s="23"/>
      <c r="AQ39" s="23"/>
      <c r="AR39" s="23"/>
      <c r="AS39" s="23"/>
      <c r="AT39" s="23"/>
      <c r="AU39" s="23"/>
      <c r="AV39" s="18">
        <f t="shared" si="0"/>
        <v>54.655000000000001</v>
      </c>
    </row>
    <row r="40" spans="1:48" ht="15.75" x14ac:dyDescent="0.25">
      <c r="A40" s="8">
        <v>37</v>
      </c>
      <c r="B40" s="21" t="s">
        <v>101</v>
      </c>
      <c r="C40" s="22" t="s">
        <v>5</v>
      </c>
      <c r="D40" s="24"/>
      <c r="E40" s="24">
        <v>1</v>
      </c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  <c r="AH40" s="24"/>
      <c r="AI40" s="24"/>
      <c r="AJ40" s="25"/>
      <c r="AK40" s="25"/>
      <c r="AL40" s="25"/>
      <c r="AM40" s="25"/>
      <c r="AN40" s="25"/>
      <c r="AO40" s="25"/>
      <c r="AP40" s="25"/>
      <c r="AQ40" s="25"/>
      <c r="AR40" s="25"/>
      <c r="AS40" s="25"/>
      <c r="AT40" s="25"/>
      <c r="AU40" s="25"/>
      <c r="AV40" s="11">
        <f t="shared" si="0"/>
        <v>1</v>
      </c>
    </row>
    <row r="41" spans="1:48" ht="15.75" x14ac:dyDescent="0.25">
      <c r="A41" s="8">
        <v>38</v>
      </c>
      <c r="B41" s="21" t="s">
        <v>46</v>
      </c>
      <c r="C41" s="22" t="s">
        <v>8</v>
      </c>
      <c r="D41" s="19"/>
      <c r="E41" s="19">
        <v>19</v>
      </c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23"/>
      <c r="AK41" s="23"/>
      <c r="AL41" s="23"/>
      <c r="AM41" s="23"/>
      <c r="AN41" s="23"/>
      <c r="AO41" s="23"/>
      <c r="AP41" s="23"/>
      <c r="AQ41" s="23"/>
      <c r="AR41" s="23"/>
      <c r="AS41" s="23"/>
      <c r="AT41" s="23"/>
      <c r="AU41" s="23"/>
      <c r="AV41" s="18">
        <f t="shared" si="0"/>
        <v>19</v>
      </c>
    </row>
    <row r="42" spans="1:48" ht="15.75" x14ac:dyDescent="0.25">
      <c r="A42" s="8">
        <v>39</v>
      </c>
      <c r="B42" s="21" t="s">
        <v>102</v>
      </c>
      <c r="C42" s="22" t="s">
        <v>8</v>
      </c>
      <c r="D42" s="19"/>
      <c r="E42" s="19">
        <f>21.95+21.42</f>
        <v>43.370000000000005</v>
      </c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>
        <v>0.20799999999999999</v>
      </c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23"/>
      <c r="AK42" s="23"/>
      <c r="AL42" s="23"/>
      <c r="AM42" s="23"/>
      <c r="AN42" s="23"/>
      <c r="AO42" s="23"/>
      <c r="AP42" s="23"/>
      <c r="AQ42" s="23"/>
      <c r="AR42" s="23"/>
      <c r="AS42" s="23"/>
      <c r="AT42" s="23"/>
      <c r="AU42" s="23"/>
      <c r="AV42" s="18">
        <f t="shared" si="0"/>
        <v>43.578000000000003</v>
      </c>
    </row>
    <row r="43" spans="1:48" ht="15.75" x14ac:dyDescent="0.25">
      <c r="A43" s="8">
        <v>40</v>
      </c>
      <c r="B43" s="29" t="s">
        <v>19</v>
      </c>
      <c r="C43" s="22" t="s">
        <v>8</v>
      </c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28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>
        <v>19.600000000000001</v>
      </c>
      <c r="AI43" s="19"/>
      <c r="AJ43" s="23"/>
      <c r="AK43" s="23"/>
      <c r="AL43" s="23"/>
      <c r="AM43" s="23"/>
      <c r="AN43" s="23"/>
      <c r="AO43" s="23"/>
      <c r="AP43" s="23"/>
      <c r="AQ43" s="23"/>
      <c r="AR43" s="23"/>
      <c r="AS43" s="23"/>
      <c r="AT43" s="23"/>
      <c r="AU43" s="23"/>
      <c r="AV43" s="18">
        <f t="shared" si="0"/>
        <v>19.600000000000001</v>
      </c>
    </row>
    <row r="44" spans="1:48" ht="15.75" x14ac:dyDescent="0.25">
      <c r="A44" s="8">
        <v>41</v>
      </c>
      <c r="B44" s="29" t="s">
        <v>45</v>
      </c>
      <c r="C44" s="29" t="s">
        <v>18</v>
      </c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30"/>
      <c r="X44" s="24"/>
      <c r="Y44" s="24"/>
      <c r="Z44" s="24"/>
      <c r="AA44" s="24"/>
      <c r="AB44" s="24"/>
      <c r="AC44" s="24"/>
      <c r="AD44" s="24"/>
      <c r="AE44" s="24"/>
      <c r="AF44" s="24"/>
      <c r="AG44" s="24"/>
      <c r="AH44" s="24">
        <f>53635+300</f>
        <v>53935</v>
      </c>
      <c r="AI44" s="24"/>
      <c r="AJ44" s="24"/>
      <c r="AK44" s="24"/>
      <c r="AL44" s="24"/>
      <c r="AM44" s="24"/>
      <c r="AN44" s="24"/>
      <c r="AO44" s="24"/>
      <c r="AP44" s="24"/>
      <c r="AQ44" s="24"/>
      <c r="AR44" s="24">
        <v>18360</v>
      </c>
      <c r="AS44" s="25"/>
      <c r="AT44" s="24"/>
      <c r="AU44" s="24"/>
      <c r="AV44" s="11">
        <f t="shared" si="0"/>
        <v>72295</v>
      </c>
    </row>
    <row r="45" spans="1:48" ht="15.75" x14ac:dyDescent="0.25">
      <c r="A45" s="8">
        <v>42</v>
      </c>
      <c r="B45" s="22" t="s">
        <v>14</v>
      </c>
      <c r="C45" s="22" t="s">
        <v>8</v>
      </c>
      <c r="D45" s="19">
        <v>2</v>
      </c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28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23"/>
      <c r="AK45" s="23"/>
      <c r="AL45" s="23"/>
      <c r="AM45" s="23"/>
      <c r="AN45" s="23"/>
      <c r="AO45" s="23"/>
      <c r="AP45" s="23"/>
      <c r="AQ45" s="23"/>
      <c r="AR45" s="23"/>
      <c r="AS45" s="23"/>
      <c r="AT45" s="23"/>
      <c r="AU45" s="23"/>
      <c r="AV45" s="18">
        <f t="shared" si="0"/>
        <v>2</v>
      </c>
    </row>
    <row r="46" spans="1:48" ht="15.75" x14ac:dyDescent="0.25">
      <c r="A46" s="8">
        <v>43</v>
      </c>
      <c r="B46" s="22" t="s">
        <v>21</v>
      </c>
      <c r="C46" s="22" t="s">
        <v>8</v>
      </c>
      <c r="D46" s="19"/>
      <c r="E46" s="19"/>
      <c r="F46" s="19"/>
      <c r="G46" s="19"/>
      <c r="H46" s="19"/>
      <c r="I46" s="19"/>
      <c r="J46" s="19"/>
      <c r="K46" s="19"/>
      <c r="L46" s="19"/>
      <c r="M46" s="19">
        <v>14.634</v>
      </c>
      <c r="N46" s="19"/>
      <c r="O46" s="19"/>
      <c r="P46" s="19"/>
      <c r="Q46" s="19"/>
      <c r="R46" s="19"/>
      <c r="S46" s="19"/>
      <c r="T46" s="19"/>
      <c r="U46" s="19"/>
      <c r="V46" s="19"/>
      <c r="W46" s="28"/>
      <c r="X46" s="19"/>
      <c r="Y46" s="19"/>
      <c r="Z46" s="19"/>
      <c r="AA46" s="19"/>
      <c r="AB46" s="19"/>
      <c r="AC46" s="19">
        <v>13.803000000000001</v>
      </c>
      <c r="AD46" s="19"/>
      <c r="AE46" s="19"/>
      <c r="AF46" s="19"/>
      <c r="AG46" s="19"/>
      <c r="AH46" s="19">
        <v>42.38</v>
      </c>
      <c r="AI46" s="19"/>
      <c r="AJ46" s="23"/>
      <c r="AK46" s="23">
        <v>11.712999999999999</v>
      </c>
      <c r="AL46" s="23"/>
      <c r="AM46" s="23"/>
      <c r="AN46" s="23"/>
      <c r="AO46" s="23"/>
      <c r="AP46" s="23"/>
      <c r="AQ46" s="23"/>
      <c r="AR46" s="23"/>
      <c r="AS46" s="23"/>
      <c r="AT46" s="23"/>
      <c r="AU46" s="23"/>
      <c r="AV46" s="18">
        <f t="shared" si="0"/>
        <v>82.53</v>
      </c>
    </row>
    <row r="47" spans="1:48" ht="15.75" x14ac:dyDescent="0.25">
      <c r="A47" s="8">
        <v>44</v>
      </c>
      <c r="B47" s="31" t="s">
        <v>38</v>
      </c>
      <c r="C47" s="31" t="s">
        <v>8</v>
      </c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2"/>
      <c r="W47" s="33"/>
      <c r="X47" s="32"/>
      <c r="Y47" s="32"/>
      <c r="Z47" s="32"/>
      <c r="AA47" s="32"/>
      <c r="AB47" s="32"/>
      <c r="AC47" s="32"/>
      <c r="AD47" s="32"/>
      <c r="AE47" s="32"/>
      <c r="AF47" s="32"/>
      <c r="AG47" s="32"/>
      <c r="AH47" s="32"/>
      <c r="AI47" s="32"/>
      <c r="AJ47" s="34"/>
      <c r="AK47" s="34">
        <f>11.8+9.632</f>
        <v>21.432000000000002</v>
      </c>
      <c r="AL47" s="34"/>
      <c r="AM47" s="34"/>
      <c r="AN47" s="34"/>
      <c r="AO47" s="34"/>
      <c r="AP47" s="34"/>
      <c r="AQ47" s="34"/>
      <c r="AR47" s="34"/>
      <c r="AS47" s="19"/>
      <c r="AT47" s="34"/>
      <c r="AU47" s="34"/>
      <c r="AV47" s="18">
        <f t="shared" si="0"/>
        <v>21.432000000000002</v>
      </c>
    </row>
    <row r="48" spans="1:48" ht="15.75" x14ac:dyDescent="0.25">
      <c r="A48" s="35">
        <v>45</v>
      </c>
      <c r="B48" s="31" t="s">
        <v>103</v>
      </c>
      <c r="C48" s="31" t="s">
        <v>18</v>
      </c>
      <c r="D48" s="36"/>
      <c r="E48" s="36">
        <f>2054520+255600</f>
        <v>2310120</v>
      </c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7"/>
      <c r="X48" s="36"/>
      <c r="Y48" s="36"/>
      <c r="Z48" s="36"/>
      <c r="AA48" s="36"/>
      <c r="AB48" s="36"/>
      <c r="AC48" s="36"/>
      <c r="AD48" s="36"/>
      <c r="AE48" s="36"/>
      <c r="AF48" s="36"/>
      <c r="AG48" s="36"/>
      <c r="AH48" s="36"/>
      <c r="AI48" s="36"/>
      <c r="AJ48" s="38"/>
      <c r="AK48" s="38"/>
      <c r="AL48" s="38"/>
      <c r="AM48" s="38"/>
      <c r="AN48" s="38"/>
      <c r="AO48" s="38"/>
      <c r="AP48" s="38"/>
      <c r="AQ48" s="38"/>
      <c r="AR48" s="38"/>
      <c r="AS48" s="25"/>
      <c r="AT48" s="38"/>
      <c r="AU48" s="38"/>
      <c r="AV48" s="11">
        <f t="shared" si="0"/>
        <v>2310120</v>
      </c>
    </row>
    <row r="49" spans="1:48" ht="15.75" x14ac:dyDescent="0.25">
      <c r="A49" s="35">
        <v>46</v>
      </c>
      <c r="B49" s="31" t="s">
        <v>12</v>
      </c>
      <c r="C49" s="31" t="s">
        <v>8</v>
      </c>
      <c r="D49" s="32"/>
      <c r="E49" s="32">
        <f>1.37+1.631</f>
        <v>3.0010000000000003</v>
      </c>
      <c r="F49" s="32"/>
      <c r="G49" s="32"/>
      <c r="H49" s="32"/>
      <c r="I49" s="32"/>
      <c r="J49" s="32"/>
      <c r="K49" s="32"/>
      <c r="L49" s="32"/>
      <c r="M49" s="32"/>
      <c r="N49" s="32">
        <f>6.494+6.513</f>
        <v>13.007</v>
      </c>
      <c r="O49" s="32"/>
      <c r="P49" s="32"/>
      <c r="Q49" s="32"/>
      <c r="R49" s="32"/>
      <c r="S49" s="32"/>
      <c r="T49" s="32"/>
      <c r="U49" s="32"/>
      <c r="V49" s="32"/>
      <c r="W49" s="33"/>
      <c r="X49" s="32"/>
      <c r="Y49" s="32"/>
      <c r="Z49" s="32"/>
      <c r="AA49" s="32"/>
      <c r="AB49" s="32"/>
      <c r="AC49" s="32"/>
      <c r="AD49" s="32"/>
      <c r="AE49" s="32"/>
      <c r="AF49" s="32"/>
      <c r="AG49" s="32"/>
      <c r="AH49" s="32"/>
      <c r="AI49" s="32"/>
      <c r="AJ49" s="34"/>
      <c r="AK49" s="34"/>
      <c r="AL49" s="34"/>
      <c r="AM49" s="34"/>
      <c r="AN49" s="34"/>
      <c r="AO49" s="34"/>
      <c r="AP49" s="34"/>
      <c r="AQ49" s="34"/>
      <c r="AR49" s="34"/>
      <c r="AS49" s="23"/>
      <c r="AT49" s="34"/>
      <c r="AU49" s="34"/>
      <c r="AV49" s="18">
        <f t="shared" si="0"/>
        <v>16.007999999999999</v>
      </c>
    </row>
    <row r="50" spans="1:48" ht="15.75" x14ac:dyDescent="0.25">
      <c r="A50" s="35">
        <v>47</v>
      </c>
      <c r="B50" s="31" t="s">
        <v>47</v>
      </c>
      <c r="C50" s="31" t="s">
        <v>18</v>
      </c>
      <c r="D50" s="36"/>
      <c r="E50" s="36"/>
      <c r="F50" s="36"/>
      <c r="G50" s="36"/>
      <c r="H50" s="36"/>
      <c r="I50" s="36">
        <f>3000000+2500000+350000</f>
        <v>5850000</v>
      </c>
      <c r="J50" s="36"/>
      <c r="K50" s="36"/>
      <c r="L50" s="36"/>
      <c r="M50" s="36"/>
      <c r="N50" s="36"/>
      <c r="O50" s="36"/>
      <c r="P50" s="36"/>
      <c r="Q50" s="36"/>
      <c r="R50" s="36"/>
      <c r="S50" s="36"/>
      <c r="T50" s="36"/>
      <c r="U50" s="36"/>
      <c r="V50" s="36"/>
      <c r="W50" s="36"/>
      <c r="X50" s="37"/>
      <c r="Y50" s="36"/>
      <c r="Z50" s="36"/>
      <c r="AA50" s="36"/>
      <c r="AB50" s="36"/>
      <c r="AC50" s="36"/>
      <c r="AD50" s="36"/>
      <c r="AE50" s="36"/>
      <c r="AF50" s="36"/>
      <c r="AG50" s="36"/>
      <c r="AH50" s="36"/>
      <c r="AI50" s="36"/>
      <c r="AJ50" s="38"/>
      <c r="AK50" s="38"/>
      <c r="AL50" s="38"/>
      <c r="AM50" s="38"/>
      <c r="AN50" s="38"/>
      <c r="AO50" s="38"/>
      <c r="AP50" s="38"/>
      <c r="AQ50" s="38"/>
      <c r="AR50" s="38"/>
      <c r="AS50" s="38"/>
      <c r="AT50" s="38"/>
      <c r="AU50" s="38"/>
      <c r="AV50" s="11">
        <f t="shared" si="0"/>
        <v>5850000</v>
      </c>
    </row>
    <row r="51" spans="1:48" ht="15.75" x14ac:dyDescent="0.25">
      <c r="A51" s="35">
        <v>48</v>
      </c>
      <c r="B51" s="31" t="s">
        <v>48</v>
      </c>
      <c r="C51" s="31" t="s">
        <v>18</v>
      </c>
      <c r="D51" s="36"/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7"/>
      <c r="Y51" s="36"/>
      <c r="Z51" s="36"/>
      <c r="AA51" s="36"/>
      <c r="AB51" s="36"/>
      <c r="AC51" s="36"/>
      <c r="AD51" s="36"/>
      <c r="AE51" s="36"/>
      <c r="AF51" s="36"/>
      <c r="AG51" s="36"/>
      <c r="AH51" s="36"/>
      <c r="AI51" s="36"/>
      <c r="AJ51" s="38"/>
      <c r="AK51" s="38">
        <f>3870+4006</f>
        <v>7876</v>
      </c>
      <c r="AL51" s="38"/>
      <c r="AM51" s="38"/>
      <c r="AN51" s="38"/>
      <c r="AO51" s="38"/>
      <c r="AP51" s="38"/>
      <c r="AQ51" s="38"/>
      <c r="AR51" s="38"/>
      <c r="AS51" s="38"/>
      <c r="AT51" s="38"/>
      <c r="AU51" s="38"/>
      <c r="AV51" s="11">
        <f t="shared" si="0"/>
        <v>7876</v>
      </c>
    </row>
    <row r="52" spans="1:48" ht="15.75" x14ac:dyDescent="0.25">
      <c r="A52" s="35">
        <v>49</v>
      </c>
      <c r="B52" s="31" t="s">
        <v>104</v>
      </c>
      <c r="C52" s="31" t="s">
        <v>8</v>
      </c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32"/>
      <c r="U52" s="32"/>
      <c r="V52" s="32"/>
      <c r="W52" s="32"/>
      <c r="X52" s="33"/>
      <c r="Y52" s="32"/>
      <c r="Z52" s="32"/>
      <c r="AA52" s="32"/>
      <c r="AB52" s="32"/>
      <c r="AC52" s="32"/>
      <c r="AD52" s="32"/>
      <c r="AE52" s="32"/>
      <c r="AF52" s="32"/>
      <c r="AG52" s="32"/>
      <c r="AH52" s="32"/>
      <c r="AI52" s="32"/>
      <c r="AJ52" s="34"/>
      <c r="AK52" s="34"/>
      <c r="AL52" s="34"/>
      <c r="AM52" s="34"/>
      <c r="AN52" s="34">
        <v>63</v>
      </c>
      <c r="AO52" s="34"/>
      <c r="AP52" s="34"/>
      <c r="AQ52" s="34"/>
      <c r="AR52" s="34"/>
      <c r="AS52" s="34"/>
      <c r="AT52" s="34"/>
      <c r="AU52" s="34"/>
      <c r="AV52" s="18">
        <f t="shared" si="0"/>
        <v>63</v>
      </c>
    </row>
    <row r="53" spans="1:48" ht="15.75" x14ac:dyDescent="0.25">
      <c r="A53" s="35">
        <v>50</v>
      </c>
      <c r="B53" s="31" t="s">
        <v>29</v>
      </c>
      <c r="C53" s="31" t="s">
        <v>8</v>
      </c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32"/>
      <c r="W53" s="32"/>
      <c r="X53" s="33"/>
      <c r="Y53" s="32"/>
      <c r="Z53" s="32"/>
      <c r="AA53" s="32"/>
      <c r="AB53" s="32"/>
      <c r="AC53" s="32"/>
      <c r="AD53" s="32"/>
      <c r="AE53" s="32"/>
      <c r="AF53" s="32"/>
      <c r="AG53" s="32"/>
      <c r="AH53" s="32"/>
      <c r="AI53" s="32"/>
      <c r="AJ53" s="34"/>
      <c r="AK53" s="34"/>
      <c r="AL53" s="34"/>
      <c r="AM53" s="34"/>
      <c r="AN53" s="34"/>
      <c r="AO53" s="34">
        <v>0.19800000000000001</v>
      </c>
      <c r="AP53" s="34"/>
      <c r="AQ53" s="34"/>
      <c r="AR53" s="34"/>
      <c r="AS53" s="34"/>
      <c r="AT53" s="34"/>
      <c r="AU53" s="34"/>
      <c r="AV53" s="18">
        <f t="shared" si="0"/>
        <v>0.19800000000000001</v>
      </c>
    </row>
    <row r="54" spans="1:48" ht="15.75" x14ac:dyDescent="0.25">
      <c r="A54" s="35">
        <v>51</v>
      </c>
      <c r="B54" s="31" t="s">
        <v>105</v>
      </c>
      <c r="C54" s="31" t="s">
        <v>18</v>
      </c>
      <c r="D54" s="36"/>
      <c r="E54" s="36">
        <v>350</v>
      </c>
      <c r="F54" s="36"/>
      <c r="G54" s="36"/>
      <c r="H54" s="36"/>
      <c r="I54" s="36"/>
      <c r="J54" s="36"/>
      <c r="K54" s="36"/>
      <c r="L54" s="36"/>
      <c r="M54" s="36"/>
      <c r="N54" s="36"/>
      <c r="O54" s="36"/>
      <c r="P54" s="36"/>
      <c r="Q54" s="36"/>
      <c r="R54" s="36"/>
      <c r="S54" s="36"/>
      <c r="T54" s="36"/>
      <c r="U54" s="36"/>
      <c r="V54" s="36"/>
      <c r="W54" s="36"/>
      <c r="X54" s="37"/>
      <c r="Y54" s="36"/>
      <c r="Z54" s="36"/>
      <c r="AA54" s="36"/>
      <c r="AB54" s="36"/>
      <c r="AC54" s="36"/>
      <c r="AD54" s="36"/>
      <c r="AE54" s="36"/>
      <c r="AF54" s="36"/>
      <c r="AG54" s="36"/>
      <c r="AH54" s="36"/>
      <c r="AI54" s="36"/>
      <c r="AJ54" s="38"/>
      <c r="AK54" s="38"/>
      <c r="AL54" s="38"/>
      <c r="AM54" s="38"/>
      <c r="AN54" s="38"/>
      <c r="AO54" s="38"/>
      <c r="AP54" s="38"/>
      <c r="AQ54" s="38"/>
      <c r="AR54" s="38"/>
      <c r="AS54" s="38"/>
      <c r="AT54" s="38"/>
      <c r="AU54" s="38"/>
      <c r="AV54" s="11">
        <f t="shared" si="0"/>
        <v>350</v>
      </c>
    </row>
    <row r="55" spans="1:48" ht="15.75" x14ac:dyDescent="0.25">
      <c r="A55" s="35">
        <v>52</v>
      </c>
      <c r="B55" s="31" t="s">
        <v>32</v>
      </c>
      <c r="C55" s="31" t="s">
        <v>8</v>
      </c>
      <c r="D55" s="32"/>
      <c r="E55" s="32">
        <v>48</v>
      </c>
      <c r="F55" s="32"/>
      <c r="G55" s="32"/>
      <c r="H55" s="32"/>
      <c r="I55" s="32"/>
      <c r="J55" s="32"/>
      <c r="K55" s="32"/>
      <c r="L55" s="32"/>
      <c r="M55" s="32"/>
      <c r="N55" s="32"/>
      <c r="O55" s="32"/>
      <c r="P55" s="32"/>
      <c r="Q55" s="32"/>
      <c r="R55" s="32"/>
      <c r="S55" s="32"/>
      <c r="T55" s="32"/>
      <c r="U55" s="32"/>
      <c r="V55" s="32"/>
      <c r="W55" s="32"/>
      <c r="X55" s="33"/>
      <c r="Y55" s="32"/>
      <c r="Z55" s="32"/>
      <c r="AA55" s="32"/>
      <c r="AB55" s="32"/>
      <c r="AC55" s="32"/>
      <c r="AD55" s="32"/>
      <c r="AE55" s="32"/>
      <c r="AF55" s="32"/>
      <c r="AG55" s="32"/>
      <c r="AH55" s="32"/>
      <c r="AI55" s="32"/>
      <c r="AJ55" s="34"/>
      <c r="AK55" s="34"/>
      <c r="AL55" s="34"/>
      <c r="AM55" s="34"/>
      <c r="AN55" s="34"/>
      <c r="AO55" s="34"/>
      <c r="AP55" s="34"/>
      <c r="AQ55" s="34"/>
      <c r="AR55" s="34"/>
      <c r="AS55" s="34"/>
      <c r="AT55" s="34"/>
      <c r="AU55" s="34"/>
      <c r="AV55" s="18">
        <f t="shared" si="0"/>
        <v>48</v>
      </c>
    </row>
  </sheetData>
  <mergeCells count="5">
    <mergeCell ref="A2:A3"/>
    <mergeCell ref="B2:B3"/>
    <mergeCell ref="C2:C3"/>
    <mergeCell ref="A1:AV1"/>
    <mergeCell ref="AV2:AV3"/>
  </mergeCells>
  <conditionalFormatting sqref="B4:B42">
    <cfRule type="duplicateValues" dxfId="19" priority="2"/>
  </conditionalFormatting>
  <conditionalFormatting sqref="AS5 D2:AR2 AT2:AU2">
    <cfRule type="duplicateValues" dxfId="18" priority="1"/>
    <cfRule type="duplicateValues" dxfId="17" priority="3"/>
    <cfRule type="duplicateValues" dxfId="16" priority="4"/>
    <cfRule type="duplicateValues" dxfId="15" priority="5"/>
    <cfRule type="duplicateValues" dxfId="14" priority="6"/>
    <cfRule type="duplicateValues" dxfId="13" priority="7"/>
    <cfRule type="duplicateValues" dxfId="12" priority="8"/>
  </conditionalFormatting>
  <conditionalFormatting sqref="AV4:AV55">
    <cfRule type="duplicateValues" dxfId="11" priority="9"/>
  </conditionalFormatting>
  <conditionalFormatting sqref="AV4:AV55">
    <cfRule type="duplicateValues" dxfId="10" priority="10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GVFI</dc:creator>
  <cp:lastModifiedBy>ГИВФБ</cp:lastModifiedBy>
  <dcterms:created xsi:type="dcterms:W3CDTF">2024-10-02T05:02:49Z</dcterms:created>
  <dcterms:modified xsi:type="dcterms:W3CDTF">2025-01-23T05:08:28Z</dcterms:modified>
</cp:coreProperties>
</file>