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D139F8F-CCCC-43F9-9DF4-384E98BE613A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ЕАЭС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5" l="1"/>
  <c r="G27" i="15"/>
  <c r="E82" i="15" l="1"/>
  <c r="E93" i="15" l="1"/>
  <c r="E21" i="15"/>
  <c r="E18" i="15"/>
  <c r="E59" i="15"/>
  <c r="G36" i="15"/>
  <c r="H56" i="15"/>
  <c r="G66" i="15"/>
  <c r="E66" i="15"/>
  <c r="E76" i="15"/>
  <c r="G95" i="15"/>
  <c r="E60" i="15"/>
  <c r="H21" i="15"/>
  <c r="G21" i="15"/>
  <c r="G13" i="15"/>
  <c r="E89" i="15"/>
  <c r="E58" i="15"/>
  <c r="I21" i="15"/>
  <c r="F21" i="15"/>
  <c r="G22" i="15"/>
  <c r="E22" i="15"/>
  <c r="G23" i="15"/>
  <c r="I81" i="15"/>
  <c r="E81" i="15"/>
  <c r="E16" i="15"/>
  <c r="G80" i="15"/>
  <c r="F45" i="15"/>
  <c r="F16" i="15"/>
  <c r="E38" i="15"/>
  <c r="H10" i="15"/>
  <c r="E10" i="15"/>
  <c r="I15" i="15"/>
  <c r="E15" i="15"/>
  <c r="I14" i="15" l="1"/>
  <c r="H14" i="15"/>
  <c r="G14" i="15"/>
  <c r="E14" i="15"/>
  <c r="E45" i="15"/>
  <c r="H16" i="15"/>
  <c r="F74" i="15" l="1"/>
  <c r="E57" i="15"/>
  <c r="E67" i="15"/>
  <c r="H18" i="15"/>
  <c r="F18" i="15"/>
  <c r="G19" i="15"/>
  <c r="E19" i="15"/>
  <c r="G16" i="15"/>
  <c r="H46" i="15"/>
  <c r="F46" i="15"/>
  <c r="E46" i="15"/>
  <c r="H47" i="15"/>
  <c r="F47" i="15"/>
  <c r="E42" i="15"/>
  <c r="H38" i="15"/>
  <c r="G38" i="15"/>
  <c r="H40" i="15"/>
  <c r="F40" i="15"/>
  <c r="E40" i="15"/>
  <c r="I10" i="15"/>
  <c r="G10" i="15"/>
  <c r="G7" i="15"/>
  <c r="H6" i="15"/>
  <c r="G6" i="15"/>
  <c r="F6" i="15"/>
  <c r="E6" i="15"/>
  <c r="G4" i="15" l="1"/>
  <c r="E4" i="15"/>
  <c r="E61" i="15" l="1"/>
  <c r="G39" i="15"/>
  <c r="G33" i="15"/>
  <c r="F36" i="15"/>
  <c r="E36" i="15"/>
  <c r="I76" i="15"/>
  <c r="G35" i="15" l="1"/>
  <c r="H45" i="15" l="1"/>
  <c r="F57" i="15"/>
  <c r="G25" i="15"/>
  <c r="I19" i="15"/>
  <c r="I16" i="15"/>
  <c r="F10" i="15"/>
  <c r="J7" i="15"/>
  <c r="H5" i="15"/>
  <c r="E5" i="15"/>
  <c r="G5" i="15" l="1"/>
  <c r="E65" i="15" l="1"/>
  <c r="F37" i="15"/>
  <c r="H85" i="15"/>
  <c r="E68" i="15"/>
  <c r="G82" i="15"/>
  <c r="K40" i="15"/>
  <c r="E9" i="15" l="1"/>
  <c r="G8" i="15"/>
  <c r="E17" i="15"/>
  <c r="F72" i="15" l="1"/>
  <c r="E20" i="15"/>
  <c r="G40" i="15" l="1"/>
  <c r="F7" i="15" l="1"/>
  <c r="G56" i="15" l="1"/>
  <c r="G54" i="15"/>
  <c r="E35" i="15"/>
  <c r="F14" i="15"/>
  <c r="E7" i="15"/>
  <c r="H7" i="15"/>
  <c r="H80" i="15" l="1"/>
  <c r="H55" i="15"/>
  <c r="E41" i="15"/>
  <c r="H36" i="15"/>
  <c r="H35" i="15"/>
  <c r="H22" i="15"/>
  <c r="H72" i="15" l="1"/>
  <c r="H39" i="15"/>
  <c r="F25" i="15"/>
  <c r="J80" i="15" l="1"/>
  <c r="G41" i="15"/>
</calcChain>
</file>

<file path=xl/sharedStrings.xml><?xml version="1.0" encoding="utf-8"?>
<sst xmlns="http://schemas.openxmlformats.org/spreadsheetml/2006/main" count="215" uniqueCount="113">
  <si>
    <t>Вид животных и наименование продуктов и сырья животного происхождения</t>
  </si>
  <si>
    <t>Российская Федерация</t>
  </si>
  <si>
    <t>Республика Казахстан</t>
  </si>
  <si>
    <t>Республика Беларусь</t>
  </si>
  <si>
    <t>Республика Армения</t>
  </si>
  <si>
    <t>ввоз</t>
  </si>
  <si>
    <t>вывоз</t>
  </si>
  <si>
    <t>гол.</t>
  </si>
  <si>
    <t>лошади</t>
  </si>
  <si>
    <t>шт.</t>
  </si>
  <si>
    <t>тн.</t>
  </si>
  <si>
    <t>мясо птицы</t>
  </si>
  <si>
    <t>колбасные изделия</t>
  </si>
  <si>
    <t>рыбные консервы</t>
  </si>
  <si>
    <t>яйцо продовольственное</t>
  </si>
  <si>
    <t>молочная  продукция</t>
  </si>
  <si>
    <t>мёд натуральный</t>
  </si>
  <si>
    <t>корм для животных и птиц</t>
  </si>
  <si>
    <t>корм для рыб</t>
  </si>
  <si>
    <t>инкубационные яйца</t>
  </si>
  <si>
    <t>молоко пастерилизованное</t>
  </si>
  <si>
    <t>№</t>
  </si>
  <si>
    <t>мясная продукция</t>
  </si>
  <si>
    <t>белковый продукт</t>
  </si>
  <si>
    <t>собаки</t>
  </si>
  <si>
    <t>КРС</t>
  </si>
  <si>
    <t>МРС</t>
  </si>
  <si>
    <t>кошки</t>
  </si>
  <si>
    <t>мясо говядина (буйволятина)</t>
  </si>
  <si>
    <t>мясо баранина</t>
  </si>
  <si>
    <t>мясо свинина</t>
  </si>
  <si>
    <t>шкур КРС</t>
  </si>
  <si>
    <t>конские шкуры</t>
  </si>
  <si>
    <t xml:space="preserve">субпродукты </t>
  </si>
  <si>
    <t>зерно фуражное</t>
  </si>
  <si>
    <t>оплодотворенная икра</t>
  </si>
  <si>
    <t>ветпрепараты</t>
  </si>
  <si>
    <t>охот.трофей</t>
  </si>
  <si>
    <t>шкур МРС</t>
  </si>
  <si>
    <t>куринные лапки</t>
  </si>
  <si>
    <t>Ед. изм</t>
  </si>
  <si>
    <t>шрот</t>
  </si>
  <si>
    <t>свиньи</t>
  </si>
  <si>
    <t>кормовые добавки</t>
  </si>
  <si>
    <t>корм для собак и кошек</t>
  </si>
  <si>
    <t>бычий стержень</t>
  </si>
  <si>
    <t>кишки МРС</t>
  </si>
  <si>
    <t>куриные сосиски</t>
  </si>
  <si>
    <t>цирковые животные</t>
  </si>
  <si>
    <t>доз</t>
  </si>
  <si>
    <t>семенной материал быков</t>
  </si>
  <si>
    <t>декаративные рыбы</t>
  </si>
  <si>
    <t>Вет-Блю шкур КРС</t>
  </si>
  <si>
    <t>хвосты конские</t>
  </si>
  <si>
    <t>Вет-Блю шкур и сухой обрез</t>
  </si>
  <si>
    <t>мясо конское</t>
  </si>
  <si>
    <t>малек</t>
  </si>
  <si>
    <t>перепел</t>
  </si>
  <si>
    <t>Вет-Блю шкур МРС</t>
  </si>
  <si>
    <t>суточные цыплята</t>
  </si>
  <si>
    <t>жир говяжий</t>
  </si>
  <si>
    <t>соль кормовой</t>
  </si>
  <si>
    <t>костная мука</t>
  </si>
  <si>
    <t>лама</t>
  </si>
  <si>
    <t>рысь</t>
  </si>
  <si>
    <t>топленое масло</t>
  </si>
  <si>
    <t>змея</t>
  </si>
  <si>
    <t>лизин</t>
  </si>
  <si>
    <t>пчелопакеты</t>
  </si>
  <si>
    <t>курдючный жир</t>
  </si>
  <si>
    <t>продукты питания</t>
  </si>
  <si>
    <t>кожа хромового дубления</t>
  </si>
  <si>
    <t>жмых хлопковый</t>
  </si>
  <si>
    <t>хвосты КРС</t>
  </si>
  <si>
    <t>ослы</t>
  </si>
  <si>
    <t xml:space="preserve"> </t>
  </si>
  <si>
    <t>варан</t>
  </si>
  <si>
    <t>отруби</t>
  </si>
  <si>
    <t>комбикорм добавки био</t>
  </si>
  <si>
    <t>пищевые добавки</t>
  </si>
  <si>
    <t>пиявки медицинские</t>
  </si>
  <si>
    <t>утята</t>
  </si>
  <si>
    <t>шерсть МРС</t>
  </si>
  <si>
    <t>мясные консервы</t>
  </si>
  <si>
    <t>кукуруза фуражное</t>
  </si>
  <si>
    <t>матки пчелиные</t>
  </si>
  <si>
    <t>кожа птицы</t>
  </si>
  <si>
    <t>зернобобовые отходы</t>
  </si>
  <si>
    <t>лев</t>
  </si>
  <si>
    <t xml:space="preserve">мука кормовая </t>
  </si>
  <si>
    <t>Мытые волосы с коровьего хвоста</t>
  </si>
  <si>
    <t>Говяжий желатин</t>
  </si>
  <si>
    <t>Суп бульон</t>
  </si>
  <si>
    <t>Крабовые палочки</t>
  </si>
  <si>
    <t>рыбий жир</t>
  </si>
  <si>
    <t>детское питание</t>
  </si>
  <si>
    <t>яичный порошок</t>
  </si>
  <si>
    <t>живые птицы (попугай, сокол, голуби, куры)</t>
  </si>
  <si>
    <t>рыба замороженная и морепродукты</t>
  </si>
  <si>
    <t>верблюд</t>
  </si>
  <si>
    <t>Рыбная мука</t>
  </si>
  <si>
    <t>курут сушенный</t>
  </si>
  <si>
    <t>макаронные изделия</t>
  </si>
  <si>
    <t>Образцы днк овец и коз</t>
  </si>
  <si>
    <t xml:space="preserve">Мускус </t>
  </si>
  <si>
    <t>Нематоды</t>
  </si>
  <si>
    <t>уп</t>
  </si>
  <si>
    <t>козы</t>
  </si>
  <si>
    <t>енот</t>
  </si>
  <si>
    <t>дикобраз</t>
  </si>
  <si>
    <t>гологенный говяжий белок</t>
  </si>
  <si>
    <t>кг.</t>
  </si>
  <si>
    <t xml:space="preserve">ЕАЭС  за 11 месяцев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</si>
</sst>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Alignment="1">
      <alignment horizontal="center"/>
    </xf>
    <xf numFmtId="1" fontId="1" fillId="0" borderId="4" xfId="0" applyNumberFormat="1" applyFont="1" applyFill="1" applyBorder="1" applyAlignment="1">
      <alignment wrapText="1"/>
    </xf>
    <xf numFmtId="1" fontId="1" fillId="0" borderId="5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wrapText="1"/>
    </xf>
    <xf numFmtId="1" fontId="1" fillId="0" borderId="3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6"/>
  <sheetViews>
    <sheetView tabSelected="1" zoomScale="90" zoomScaleNormal="90" workbookViewId="0">
      <pane ySplit="3" topLeftCell="A64" activePane="bottomLeft" state="frozen"/>
      <selection pane="bottomLeft" activeCell="D106" sqref="D106"/>
    </sheetView>
  </sheetViews>
  <sheetFormatPr defaultColWidth="9.109375" defaultRowHeight="15.6" x14ac:dyDescent="0.3"/>
  <cols>
    <col min="1" max="1" width="6.6640625" style="1" customWidth="1"/>
    <col min="2" max="2" width="6" style="1" customWidth="1"/>
    <col min="3" max="3" width="40.44140625" style="1" customWidth="1"/>
    <col min="4" max="4" width="4.88671875" style="1" bestFit="1" customWidth="1"/>
    <col min="5" max="5" width="12.5546875" style="1" bestFit="1" customWidth="1"/>
    <col min="6" max="6" width="10.109375" style="1" bestFit="1" customWidth="1"/>
    <col min="7" max="7" width="12.88671875" style="1" customWidth="1"/>
    <col min="8" max="8" width="11.44140625" style="1" bestFit="1" customWidth="1"/>
    <col min="9" max="9" width="12.5546875" style="1" customWidth="1"/>
    <col min="10" max="10" width="9" style="1" bestFit="1" customWidth="1"/>
    <col min="11" max="11" width="7.88671875" style="1" bestFit="1" customWidth="1"/>
    <col min="12" max="12" width="7.44140625" style="1" bestFit="1" customWidth="1"/>
    <col min="13" max="13" width="12.109375" style="1" customWidth="1"/>
    <col min="14" max="14" width="10.109375" style="1" customWidth="1"/>
    <col min="15" max="15" width="9.109375" style="1" bestFit="1" customWidth="1"/>
    <col min="16" max="16" width="12.88671875" style="1" customWidth="1"/>
    <col min="17" max="17" width="10.109375" style="1" customWidth="1"/>
    <col min="18" max="18" width="16.5546875" style="1" customWidth="1"/>
    <col min="19" max="19" width="5.5546875" style="1" customWidth="1"/>
    <col min="20" max="20" width="12.44140625" style="1" customWidth="1"/>
    <col min="21" max="16384" width="9.109375" style="1"/>
  </cols>
  <sheetData>
    <row r="1" spans="2:15" x14ac:dyDescent="0.3">
      <c r="B1" s="11" t="s">
        <v>112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5" s="2" customFormat="1" ht="29.25" customHeight="1" x14ac:dyDescent="0.3">
      <c r="B2" s="13" t="s">
        <v>21</v>
      </c>
      <c r="C2" s="13" t="s">
        <v>0</v>
      </c>
      <c r="D2" s="15" t="s">
        <v>40</v>
      </c>
      <c r="E2" s="9" t="s">
        <v>1</v>
      </c>
      <c r="F2" s="10"/>
      <c r="G2" s="9" t="s">
        <v>2</v>
      </c>
      <c r="H2" s="10"/>
      <c r="I2" s="9" t="s">
        <v>3</v>
      </c>
      <c r="J2" s="10"/>
      <c r="K2" s="9" t="s">
        <v>4</v>
      </c>
      <c r="L2" s="10"/>
      <c r="M2" s="1"/>
      <c r="N2" s="1"/>
      <c r="O2" s="1"/>
    </row>
    <row r="3" spans="2:15" ht="15.75" customHeight="1" x14ac:dyDescent="0.3">
      <c r="B3" s="14"/>
      <c r="C3" s="14"/>
      <c r="D3" s="16"/>
      <c r="E3" s="5" t="s">
        <v>5</v>
      </c>
      <c r="F3" s="5" t="s">
        <v>6</v>
      </c>
      <c r="G3" s="5" t="s">
        <v>5</v>
      </c>
      <c r="H3" s="5" t="s">
        <v>6</v>
      </c>
      <c r="I3" s="5" t="s">
        <v>5</v>
      </c>
      <c r="J3" s="5" t="s">
        <v>6</v>
      </c>
      <c r="K3" s="5" t="s">
        <v>5</v>
      </c>
      <c r="L3" s="5" t="s">
        <v>6</v>
      </c>
    </row>
    <row r="4" spans="2:15" ht="18" x14ac:dyDescent="0.3">
      <c r="B4" s="3">
        <v>1</v>
      </c>
      <c r="C4" s="3" t="s">
        <v>25</v>
      </c>
      <c r="D4" s="3" t="s">
        <v>7</v>
      </c>
      <c r="E4" s="4">
        <f>60+116+334+288+503+930+615+590+2120+4061+5926+4237</f>
        <v>19780</v>
      </c>
      <c r="F4" s="4"/>
      <c r="G4" s="4">
        <f>143+564+227+436+276+374+32+591+504+204+355</f>
        <v>3706</v>
      </c>
      <c r="H4" s="4"/>
      <c r="I4" s="4"/>
      <c r="J4" s="4"/>
      <c r="K4" s="4"/>
      <c r="L4" s="4"/>
    </row>
    <row r="5" spans="2:15" ht="18" x14ac:dyDescent="0.3">
      <c r="B5" s="3">
        <v>2</v>
      </c>
      <c r="C5" s="3" t="s">
        <v>26</v>
      </c>
      <c r="D5" s="3" t="s">
        <v>7</v>
      </c>
      <c r="E5" s="4">
        <f>6+200</f>
        <v>206</v>
      </c>
      <c r="F5" s="4">
        <v>91</v>
      </c>
      <c r="G5" s="4">
        <f>44+186+389+115</f>
        <v>734</v>
      </c>
      <c r="H5" s="4">
        <f>8+2</f>
        <v>10</v>
      </c>
      <c r="I5" s="4"/>
      <c r="J5" s="4"/>
      <c r="K5" s="4"/>
      <c r="L5" s="4"/>
      <c r="M5" s="8"/>
      <c r="N5" s="8"/>
    </row>
    <row r="6" spans="2:15" ht="18" x14ac:dyDescent="0.3">
      <c r="B6" s="3">
        <v>3</v>
      </c>
      <c r="C6" s="3" t="s">
        <v>8</v>
      </c>
      <c r="D6" s="3" t="s">
        <v>7</v>
      </c>
      <c r="E6" s="4">
        <f>123+152+141+253+330+518+483+230+426+744+1110+1164</f>
        <v>5674</v>
      </c>
      <c r="F6" s="4">
        <f>72+21+10+24+2+5+15</f>
        <v>149</v>
      </c>
      <c r="G6" s="4">
        <f>71+17+17+3+43+2+9+4</f>
        <v>166</v>
      </c>
      <c r="H6" s="4">
        <f>2916+573+391+358</f>
        <v>4238</v>
      </c>
      <c r="I6" s="4">
        <v>8</v>
      </c>
      <c r="J6" s="4"/>
      <c r="K6" s="4"/>
      <c r="L6" s="4"/>
    </row>
    <row r="7" spans="2:15" ht="18" x14ac:dyDescent="0.3">
      <c r="B7" s="3">
        <v>4</v>
      </c>
      <c r="C7" s="3" t="s">
        <v>28</v>
      </c>
      <c r="D7" s="3" t="s">
        <v>10</v>
      </c>
      <c r="E7" s="4">
        <f>17.4</f>
        <v>17.399999999999999</v>
      </c>
      <c r="F7" s="4">
        <f>60.1+42.5+20+20</f>
        <v>142.6</v>
      </c>
      <c r="G7" s="4">
        <f>29+14.2+16.1+31.5+33.8+21.5+34.593+45.013+9.774</f>
        <v>235.48000000000005</v>
      </c>
      <c r="H7" s="3">
        <f>0.5+152</f>
        <v>152.5</v>
      </c>
      <c r="I7" s="3"/>
      <c r="J7" s="3">
        <f>202+156+353.4+140.2+56</f>
        <v>907.59999999999991</v>
      </c>
      <c r="K7" s="3"/>
      <c r="L7" s="3"/>
    </row>
    <row r="8" spans="2:15" x14ac:dyDescent="0.3">
      <c r="B8" s="3">
        <v>5</v>
      </c>
      <c r="C8" s="3" t="s">
        <v>29</v>
      </c>
      <c r="D8" s="3" t="s">
        <v>10</v>
      </c>
      <c r="E8" s="3"/>
      <c r="F8" s="3"/>
      <c r="G8" s="3">
        <f>4.6+1.1</f>
        <v>5.6999999999999993</v>
      </c>
      <c r="H8" s="3"/>
      <c r="I8" s="3"/>
      <c r="J8" s="3"/>
      <c r="K8" s="3"/>
      <c r="L8" s="3"/>
    </row>
    <row r="9" spans="2:15" ht="18" x14ac:dyDescent="0.35">
      <c r="B9" s="3">
        <v>6</v>
      </c>
      <c r="C9" s="3" t="s">
        <v>30</v>
      </c>
      <c r="D9" s="3" t="s">
        <v>10</v>
      </c>
      <c r="E9" s="6">
        <f>62.2+143.3+69.3+100+92.5+95.6+76.2+36.4+50.491</f>
        <v>725.99099999999999</v>
      </c>
      <c r="F9" s="3"/>
      <c r="G9" s="3">
        <v>5</v>
      </c>
      <c r="H9" s="3"/>
      <c r="I9" s="3">
        <v>16.920999999999999</v>
      </c>
      <c r="J9" s="3"/>
      <c r="K9" s="3"/>
      <c r="L9" s="3"/>
    </row>
    <row r="10" spans="2:15" ht="18" x14ac:dyDescent="0.3">
      <c r="B10" s="3">
        <v>7</v>
      </c>
      <c r="C10" s="3" t="s">
        <v>11</v>
      </c>
      <c r="D10" s="3" t="s">
        <v>10</v>
      </c>
      <c r="E10" s="4">
        <f>19.2+1063.7+1135.8+1833.7+2604.1+2081+1554.7+1444.6+1094.9+1431.494+1301.78+3034.069</f>
        <v>18599.043000000001</v>
      </c>
      <c r="F10" s="4">
        <f>20+99.5+43.5+99.5</f>
        <v>262.5</v>
      </c>
      <c r="G10" s="4">
        <f>60+449+557.8+366.5+835.3+823.4+862.6+810.3+989.8+745.699+614.369+8.5+1162.553</f>
        <v>8285.8209999999999</v>
      </c>
      <c r="H10" s="4">
        <f>197+119.5+20.3+335.5+393.8+333+412.1+76.5+51+546.51+103+664.388+36+743.562+60</f>
        <v>4092.16</v>
      </c>
      <c r="I10" s="4">
        <f>608+646+373.5+770.3+965.5+711.7+411.1+400.7+724.584+854.359+382.766</f>
        <v>6848.509</v>
      </c>
      <c r="J10" s="4"/>
      <c r="K10" s="4"/>
      <c r="L10" s="4"/>
    </row>
    <row r="11" spans="2:15" ht="18" x14ac:dyDescent="0.3">
      <c r="B11" s="3">
        <v>8</v>
      </c>
      <c r="C11" s="3" t="s">
        <v>86</v>
      </c>
      <c r="D11" s="3" t="s">
        <v>10</v>
      </c>
      <c r="E11" s="4">
        <v>19.5</v>
      </c>
      <c r="F11" s="4"/>
      <c r="G11" s="4"/>
      <c r="H11" s="4"/>
      <c r="I11" s="4"/>
      <c r="J11" s="4"/>
      <c r="K11" s="4"/>
      <c r="L11" s="4"/>
    </row>
    <row r="12" spans="2:15" ht="18" x14ac:dyDescent="0.3">
      <c r="B12" s="3">
        <v>9</v>
      </c>
      <c r="C12" s="3" t="s">
        <v>55</v>
      </c>
      <c r="D12" s="3" t="s">
        <v>10</v>
      </c>
      <c r="E12" s="4"/>
      <c r="F12" s="4"/>
      <c r="G12" s="4"/>
      <c r="H12" s="4"/>
      <c r="I12" s="4"/>
      <c r="J12" s="4"/>
      <c r="K12" s="4"/>
      <c r="L12" s="4"/>
    </row>
    <row r="13" spans="2:15" ht="18" x14ac:dyDescent="0.3">
      <c r="B13" s="3">
        <v>10</v>
      </c>
      <c r="C13" s="3" t="s">
        <v>60</v>
      </c>
      <c r="D13" s="3" t="s">
        <v>10</v>
      </c>
      <c r="E13" s="4">
        <v>50.7</v>
      </c>
      <c r="F13" s="4"/>
      <c r="G13" s="4">
        <f>20.4+20+40</f>
        <v>80.400000000000006</v>
      </c>
      <c r="H13" s="4"/>
      <c r="I13" s="4">
        <v>223.5</v>
      </c>
      <c r="J13" s="4"/>
      <c r="K13" s="4"/>
      <c r="L13" s="4"/>
    </row>
    <row r="14" spans="2:15" ht="18" x14ac:dyDescent="0.3">
      <c r="B14" s="3">
        <v>11</v>
      </c>
      <c r="C14" s="3" t="s">
        <v>22</v>
      </c>
      <c r="D14" s="3" t="s">
        <v>10</v>
      </c>
      <c r="E14" s="4">
        <f>141+82.3+8.4+46.5+58.8+57.8+73.4+65.2+1.6+55.558+81.087+139.652</f>
        <v>811.29700000000003</v>
      </c>
      <c r="F14" s="4">
        <f>46.8+21.5</f>
        <v>68.3</v>
      </c>
      <c r="G14" s="4">
        <f>98.3+0.2+10.9+36.693+0.328+1.5</f>
        <v>147.92100000000002</v>
      </c>
      <c r="H14" s="4">
        <f>22.2+12.1+0.115+8.399</f>
        <v>42.814</v>
      </c>
      <c r="I14" s="4">
        <f>35.8+8.6+54.5+57.6+154.693+46.317</f>
        <v>357.51</v>
      </c>
      <c r="J14" s="3"/>
      <c r="K14" s="3"/>
      <c r="L14" s="3"/>
    </row>
    <row r="15" spans="2:15" ht="20.399999999999999" customHeight="1" x14ac:dyDescent="0.3">
      <c r="B15" s="3">
        <v>12</v>
      </c>
      <c r="C15" s="3" t="s">
        <v>13</v>
      </c>
      <c r="D15" s="3" t="s">
        <v>10</v>
      </c>
      <c r="E15" s="4">
        <f>13.2+132.5+47.1+25.1+91.8+197.1+71.49+24+27.123+40.734+80.339</f>
        <v>750.4860000000001</v>
      </c>
      <c r="F15" s="4"/>
      <c r="G15" s="4">
        <v>35.4</v>
      </c>
      <c r="H15" s="4"/>
      <c r="I15" s="4">
        <f>14.8+20.502</f>
        <v>35.302</v>
      </c>
      <c r="J15" s="3"/>
      <c r="K15" s="3"/>
      <c r="L15" s="3"/>
    </row>
    <row r="16" spans="2:15" ht="18" x14ac:dyDescent="0.3">
      <c r="B16" s="3">
        <v>13</v>
      </c>
      <c r="C16" s="3" t="s">
        <v>98</v>
      </c>
      <c r="D16" s="3" t="s">
        <v>10</v>
      </c>
      <c r="E16" s="4">
        <f>415+587+486+589+556.5+312.5+278.9+382.1+343.099+517.679+16.432+404.606+0.024+32.105</f>
        <v>4920.9449999999997</v>
      </c>
      <c r="F16" s="4">
        <f>319.7+383.2+383.3+655.1+177.7+561.7+332.526+16.432+558.245+790.913+0.272+78.909</f>
        <v>4257.9969999999994</v>
      </c>
      <c r="G16" s="4">
        <f>21.1+13.1+13+9.4+3.7+3.8+3.8+8.3+3.2</f>
        <v>79.400000000000006</v>
      </c>
      <c r="H16" s="4">
        <f>12.7+30.6+15.5+6.5+8.8+73.2+23.9+3.8+5.686+18.041+8.9+0.4</f>
        <v>208.02700000000004</v>
      </c>
      <c r="I16" s="4">
        <f>2.8+26.7+21.14+3.9+8.036+3.631</f>
        <v>66.206999999999994</v>
      </c>
      <c r="J16" s="4"/>
      <c r="K16" s="4"/>
      <c r="L16" s="4"/>
    </row>
    <row r="17" spans="2:12" ht="18" x14ac:dyDescent="0.3">
      <c r="B17" s="3">
        <v>14</v>
      </c>
      <c r="C17" s="3" t="s">
        <v>51</v>
      </c>
      <c r="D17" s="3" t="s">
        <v>9</v>
      </c>
      <c r="E17" s="4">
        <f>1428+218</f>
        <v>1646</v>
      </c>
      <c r="F17" s="4"/>
      <c r="G17" s="4"/>
      <c r="H17" s="4"/>
      <c r="I17" s="4"/>
      <c r="J17" s="4"/>
      <c r="K17" s="4"/>
      <c r="L17" s="4"/>
    </row>
    <row r="18" spans="2:12" ht="18" x14ac:dyDescent="0.3">
      <c r="B18" s="3">
        <v>15</v>
      </c>
      <c r="C18" s="3" t="s">
        <v>12</v>
      </c>
      <c r="D18" s="3" t="s">
        <v>10</v>
      </c>
      <c r="E18" s="4">
        <f>11.5+9.2+39.7+21.1+28.2+62.1+11.9+39.4+18.6+33.585+32.685+60.42+2.204</f>
        <v>370.59400000000005</v>
      </c>
      <c r="F18" s="4">
        <f>17.6+49.3+30.8+5.7+51.7+23.6+21.2+34.48+39.58+57.923</f>
        <v>331.88299999999998</v>
      </c>
      <c r="G18" s="4">
        <v>0.4</v>
      </c>
      <c r="H18" s="4">
        <f>46+39+34+40+46.5+37.1+24.1+6.5+48.357+37.175+38.327</f>
        <v>397.05900000000003</v>
      </c>
      <c r="I18" s="3"/>
      <c r="J18" s="3"/>
      <c r="K18" s="3"/>
      <c r="L18" s="3"/>
    </row>
    <row r="19" spans="2:12" ht="18" x14ac:dyDescent="0.3">
      <c r="B19" s="3">
        <v>16</v>
      </c>
      <c r="C19" s="3" t="s">
        <v>14</v>
      </c>
      <c r="D19" s="3" t="s">
        <v>9</v>
      </c>
      <c r="E19" s="4">
        <f>792000+5866200+6811200+5345400+2365070+7687870+2953800+10930200+8024400+10979600+5387400+3009600</f>
        <v>70152740</v>
      </c>
      <c r="F19" s="4"/>
      <c r="G19" s="4">
        <f>3650400+7347600+3607200+7238800+5046480+5428800+3607200+11014560+8359200+7365600+9244800</f>
        <v>71910640</v>
      </c>
      <c r="H19" s="4">
        <v>450500</v>
      </c>
      <c r="I19" s="4">
        <f>5745600+3326400+2116800+3931200+6652800+3633800+4838400+4233600+6703200</f>
        <v>41181800</v>
      </c>
      <c r="J19" s="3"/>
      <c r="K19" s="3"/>
      <c r="L19" s="3"/>
    </row>
    <row r="20" spans="2:12" ht="18" x14ac:dyDescent="0.35">
      <c r="B20" s="3">
        <v>17</v>
      </c>
      <c r="C20" s="3" t="s">
        <v>19</v>
      </c>
      <c r="D20" s="3" t="s">
        <v>9</v>
      </c>
      <c r="E20" s="6">
        <f>165550+99000+79200</f>
        <v>343750</v>
      </c>
      <c r="F20" s="6"/>
      <c r="G20" s="6"/>
      <c r="H20" s="6"/>
      <c r="I20" s="6"/>
      <c r="J20" s="6"/>
      <c r="K20" s="6"/>
      <c r="L20" s="6"/>
    </row>
    <row r="21" spans="2:12" ht="18" x14ac:dyDescent="0.3">
      <c r="B21" s="3">
        <v>18</v>
      </c>
      <c r="C21" s="3" t="s">
        <v>15</v>
      </c>
      <c r="D21" s="3" t="s">
        <v>10</v>
      </c>
      <c r="E21" s="4">
        <f>57.1+38.5+311.1+27.6+20+16.5+666+558+461.7+56.2+21.8+13.2+16.4+19.2+20+633.2+46.5+40+6.8+4.2+57+16+714.9+455.25+20+36.7+8.9+38.8+30.8+993.4+506.407+44.189+22.196+22+46.381+117.734+2.246+567.593+31.946+115.128+9.4+6.526+50.211+57.227+433.661+22.1+30.038+54.843+0.3+56.204+38.905+6.155</f>
        <v>7647.1399999999985</v>
      </c>
      <c r="F21" s="4">
        <f>84.6+220+0.4+1.4+765.5+395.8+25+40+40+9.8+6.1+0.7+40+41.3+35+6.6+40+20+60</f>
        <v>1832.1999999999998</v>
      </c>
      <c r="G21" s="4">
        <f>211.2+1.5+11.4+139.8+277.7+214+11.5+22+87.6+9+187.2+8.2+0.3+158.3+340.7+164.6+1.7+224.1+453.9+175.974+10.616+3.422+79.57+206.414+134.93+9.493+138.108+0.615+5.039+10.078+15.01</f>
        <v>3313.9690000000001</v>
      </c>
      <c r="H21" s="4">
        <f>27025.3+3049.1+1225.7+1.7+20.1+1.7+40.8+745.7+9.6+1043.8+2249.408+20.968+18.376+6.221+166.061+12.325+2085.492+61.52+31.577+15.082+64.987+2220.47+11.727+13.12+49.652+80</f>
        <v>40270.485999999997</v>
      </c>
      <c r="I21" s="4">
        <f>65+355.4+46.7+149.8+40.8+102+3.4+46+27+183.5+118.34+4.6+120.4+128.031+18.723+270.486+20+21.169+154.147+16.929+2.71</f>
        <v>1895.135</v>
      </c>
      <c r="J21" s="3"/>
      <c r="K21" s="3"/>
      <c r="L21" s="3"/>
    </row>
    <row r="22" spans="2:12" ht="18" x14ac:dyDescent="0.3">
      <c r="B22" s="3">
        <v>19</v>
      </c>
      <c r="C22" s="3" t="s">
        <v>20</v>
      </c>
      <c r="D22" s="3" t="s">
        <v>10</v>
      </c>
      <c r="E22" s="4">
        <f>2.1+210.885+3.046</f>
        <v>216.03099999999998</v>
      </c>
      <c r="F22" s="4"/>
      <c r="G22" s="4">
        <f>39.2+16+18.2+19.053+16.771</f>
        <v>109.224</v>
      </c>
      <c r="H22" s="4">
        <f>773.4+547.1+483.6+616.3+360.5+94.6</f>
        <v>2875.4999999999995</v>
      </c>
      <c r="I22" s="4">
        <v>0.1</v>
      </c>
      <c r="J22" s="3"/>
      <c r="K22" s="3" t="s">
        <v>75</v>
      </c>
      <c r="L22" s="3"/>
    </row>
    <row r="23" spans="2:12" ht="18" x14ac:dyDescent="0.3">
      <c r="B23" s="3">
        <v>20</v>
      </c>
      <c r="C23" s="3" t="s">
        <v>31</v>
      </c>
      <c r="D23" s="3" t="s">
        <v>9</v>
      </c>
      <c r="E23" s="4">
        <v>2000</v>
      </c>
      <c r="F23" s="4"/>
      <c r="G23" s="4">
        <f>11050+21050+11900+7000+10900+11500+1000+7000+6000+9000+6000</f>
        <v>102400</v>
      </c>
      <c r="H23" s="3"/>
      <c r="I23" s="3"/>
      <c r="J23" s="3"/>
      <c r="K23" s="3"/>
      <c r="L23" s="3"/>
    </row>
    <row r="24" spans="2:12" ht="18" x14ac:dyDescent="0.3">
      <c r="B24" s="3">
        <v>21</v>
      </c>
      <c r="C24" s="3" t="s">
        <v>31</v>
      </c>
      <c r="D24" s="3" t="s">
        <v>10</v>
      </c>
      <c r="E24" s="4"/>
      <c r="F24" s="4"/>
      <c r="G24" s="4"/>
      <c r="H24" s="3"/>
      <c r="I24" s="3"/>
      <c r="J24" s="3"/>
      <c r="K24" s="3"/>
      <c r="L24" s="3"/>
    </row>
    <row r="25" spans="2:12" ht="18" x14ac:dyDescent="0.3">
      <c r="B25" s="3">
        <v>22</v>
      </c>
      <c r="C25" s="3" t="s">
        <v>38</v>
      </c>
      <c r="D25" s="3" t="s">
        <v>9</v>
      </c>
      <c r="E25" s="4">
        <v>1020</v>
      </c>
      <c r="F25" s="4">
        <f>3700+3700+3600</f>
        <v>11000</v>
      </c>
      <c r="G25" s="4">
        <f>5000+1306+1800</f>
        <v>8106</v>
      </c>
      <c r="H25" s="3">
        <v>3500</v>
      </c>
      <c r="I25" s="3"/>
      <c r="J25" s="3">
        <v>2500</v>
      </c>
      <c r="K25" s="3"/>
      <c r="L25" s="3"/>
    </row>
    <row r="26" spans="2:12" ht="18" x14ac:dyDescent="0.3">
      <c r="B26" s="3">
        <v>23</v>
      </c>
      <c r="C26" s="3" t="s">
        <v>71</v>
      </c>
      <c r="D26" s="3" t="s">
        <v>10</v>
      </c>
      <c r="E26" s="4"/>
      <c r="F26" s="4"/>
      <c r="G26" s="4"/>
      <c r="H26" s="3"/>
      <c r="I26" s="3"/>
      <c r="J26" s="3"/>
      <c r="K26" s="3"/>
      <c r="L26" s="3"/>
    </row>
    <row r="27" spans="2:12" ht="18" x14ac:dyDescent="0.3">
      <c r="B27" s="3">
        <v>24</v>
      </c>
      <c r="C27" s="3" t="s">
        <v>54</v>
      </c>
      <c r="D27" s="3" t="s">
        <v>10</v>
      </c>
      <c r="E27" s="4"/>
      <c r="F27" s="4">
        <v>168</v>
      </c>
      <c r="G27" s="4">
        <f>81+168+168+168+252</f>
        <v>837</v>
      </c>
      <c r="H27" s="3">
        <v>20.8</v>
      </c>
      <c r="I27" s="3"/>
      <c r="J27" s="3">
        <f>61.3+23.3+20.549</f>
        <v>105.149</v>
      </c>
      <c r="K27" s="3"/>
      <c r="L27" s="3"/>
    </row>
    <row r="28" spans="2:12" ht="18" x14ac:dyDescent="0.3">
      <c r="B28" s="3">
        <v>25</v>
      </c>
      <c r="C28" s="3" t="s">
        <v>52</v>
      </c>
      <c r="D28" s="3" t="s">
        <v>9</v>
      </c>
      <c r="E28" s="4"/>
      <c r="F28" s="4"/>
      <c r="G28" s="4"/>
      <c r="H28" s="3"/>
      <c r="I28" s="3"/>
      <c r="J28" s="3"/>
      <c r="K28" s="3"/>
      <c r="L28" s="3"/>
    </row>
    <row r="29" spans="2:12" ht="18" x14ac:dyDescent="0.3">
      <c r="B29" s="3">
        <v>26</v>
      </c>
      <c r="C29" s="3" t="s">
        <v>52</v>
      </c>
      <c r="D29" s="3" t="s">
        <v>10</v>
      </c>
      <c r="E29" s="4"/>
      <c r="F29" s="4"/>
      <c r="G29" s="4"/>
      <c r="H29" s="3">
        <v>0.1</v>
      </c>
      <c r="I29" s="3"/>
      <c r="J29" s="3">
        <v>44</v>
      </c>
      <c r="K29" s="3"/>
      <c r="L29" s="3"/>
    </row>
    <row r="30" spans="2:12" ht="18" x14ac:dyDescent="0.3">
      <c r="B30" s="3">
        <v>27</v>
      </c>
      <c r="C30" s="3" t="s">
        <v>58</v>
      </c>
      <c r="D30" s="3" t="s">
        <v>9</v>
      </c>
      <c r="E30" s="4"/>
      <c r="F30" s="4"/>
      <c r="G30" s="4"/>
      <c r="H30" s="3"/>
      <c r="I30" s="3"/>
      <c r="J30" s="3"/>
      <c r="K30" s="3"/>
      <c r="L30" s="3"/>
    </row>
    <row r="31" spans="2:12" x14ac:dyDescent="0.3">
      <c r="B31" s="3">
        <v>28</v>
      </c>
      <c r="C31" s="3" t="s">
        <v>32</v>
      </c>
      <c r="D31" s="3" t="s">
        <v>9</v>
      </c>
      <c r="E31" s="3"/>
      <c r="F31" s="3"/>
      <c r="G31" s="3">
        <v>3360</v>
      </c>
      <c r="H31" s="3"/>
      <c r="I31" s="3"/>
      <c r="J31" s="3"/>
      <c r="K31" s="3"/>
      <c r="L31" s="3"/>
    </row>
    <row r="32" spans="2:12" x14ac:dyDescent="0.3">
      <c r="B32" s="3">
        <v>29</v>
      </c>
      <c r="C32" s="3" t="s">
        <v>32</v>
      </c>
      <c r="D32" s="3" t="s">
        <v>10</v>
      </c>
      <c r="E32" s="3"/>
      <c r="F32" s="3"/>
      <c r="G32" s="3"/>
      <c r="H32" s="3"/>
      <c r="I32" s="3"/>
      <c r="J32" s="3"/>
      <c r="K32" s="3"/>
      <c r="L32" s="3"/>
    </row>
    <row r="33" spans="2:12" x14ac:dyDescent="0.3">
      <c r="B33" s="3">
        <v>30</v>
      </c>
      <c r="C33" s="3" t="s">
        <v>53</v>
      </c>
      <c r="D33" s="3" t="s">
        <v>10</v>
      </c>
      <c r="E33" s="3"/>
      <c r="F33" s="3"/>
      <c r="G33" s="3">
        <f>100+20+20</f>
        <v>140</v>
      </c>
      <c r="H33" s="3"/>
      <c r="I33" s="3"/>
      <c r="J33" s="3"/>
      <c r="K33" s="3"/>
      <c r="L33" s="3"/>
    </row>
    <row r="34" spans="2:12" x14ac:dyDescent="0.3">
      <c r="B34" s="3">
        <v>31</v>
      </c>
      <c r="C34" s="3" t="s">
        <v>73</v>
      </c>
      <c r="D34" s="3" t="s">
        <v>10</v>
      </c>
      <c r="E34" s="3">
        <v>17.5</v>
      </c>
      <c r="F34" s="3"/>
      <c r="G34" s="3"/>
      <c r="H34" s="3"/>
      <c r="I34" s="3"/>
      <c r="J34" s="3"/>
      <c r="K34" s="3"/>
      <c r="L34" s="3"/>
    </row>
    <row r="35" spans="2:12" ht="18" x14ac:dyDescent="0.3">
      <c r="B35" s="3">
        <v>32</v>
      </c>
      <c r="C35" s="3" t="s">
        <v>82</v>
      </c>
      <c r="D35" s="3" t="s">
        <v>10</v>
      </c>
      <c r="E35" s="4">
        <f>55.2+5</f>
        <v>60.2</v>
      </c>
      <c r="F35" s="4"/>
      <c r="G35" s="4">
        <f>27+156.5+52.5+22.01</f>
        <v>258.01</v>
      </c>
      <c r="H35" s="4">
        <f>11.7+37+58.5+5.6</f>
        <v>112.8</v>
      </c>
      <c r="I35" s="3"/>
      <c r="J35" s="3"/>
      <c r="K35" s="3"/>
      <c r="L35" s="3"/>
    </row>
    <row r="36" spans="2:12" x14ac:dyDescent="0.3">
      <c r="B36" s="3">
        <v>33</v>
      </c>
      <c r="C36" s="3" t="s">
        <v>33</v>
      </c>
      <c r="D36" s="3" t="s">
        <v>10</v>
      </c>
      <c r="E36" s="3">
        <f>37.3+2.9+19.554</f>
        <v>59.753999999999991</v>
      </c>
      <c r="F36" s="3">
        <f>5.45+22+1.4</f>
        <v>28.849999999999998</v>
      </c>
      <c r="G36" s="3">
        <f>78.5+35+74+20</f>
        <v>207.5</v>
      </c>
      <c r="H36" s="3">
        <f>16.3+22+42.7+25.9</f>
        <v>106.9</v>
      </c>
      <c r="I36" s="3"/>
      <c r="J36" s="3">
        <v>41.95</v>
      </c>
      <c r="K36" s="3"/>
      <c r="L36" s="3"/>
    </row>
    <row r="37" spans="2:12" x14ac:dyDescent="0.3">
      <c r="B37" s="3">
        <v>34</v>
      </c>
      <c r="C37" s="3" t="s">
        <v>61</v>
      </c>
      <c r="D37" s="3" t="s">
        <v>10</v>
      </c>
      <c r="E37" s="3"/>
      <c r="F37" s="3">
        <f>42+23</f>
        <v>65</v>
      </c>
      <c r="G37" s="3"/>
      <c r="H37" s="3"/>
      <c r="I37" s="3"/>
      <c r="J37" s="3"/>
      <c r="K37" s="3"/>
      <c r="L37" s="3"/>
    </row>
    <row r="38" spans="2:12" ht="18" x14ac:dyDescent="0.3">
      <c r="B38" s="3">
        <v>35</v>
      </c>
      <c r="C38" s="3" t="s">
        <v>17</v>
      </c>
      <c r="D38" s="3" t="s">
        <v>10</v>
      </c>
      <c r="E38" s="4">
        <f>937.4+93+886.6+1365.5+8837+914+509.7+8741.8+1606.5+1040.171+38.6+816.581+3077.43+20.9</f>
        <v>28885.181999999997</v>
      </c>
      <c r="F38" s="4"/>
      <c r="G38" s="4">
        <f>242.8+18.2+393.8+1355+5825.8+675.2+747.3+6726.5+455.1+587+250.75+748.2</f>
        <v>18025.650000000001</v>
      </c>
      <c r="H38" s="4">
        <f>21+41+126+20+20</f>
        <v>228</v>
      </c>
      <c r="I38" s="4"/>
      <c r="J38" s="4"/>
      <c r="K38" s="4"/>
      <c r="L38" s="4"/>
    </row>
    <row r="39" spans="2:12" ht="18" x14ac:dyDescent="0.3">
      <c r="B39" s="3">
        <v>36</v>
      </c>
      <c r="C39" s="3" t="s">
        <v>44</v>
      </c>
      <c r="D39" s="3" t="s">
        <v>10</v>
      </c>
      <c r="E39" s="4">
        <v>260.887</v>
      </c>
      <c r="F39" s="4">
        <v>43</v>
      </c>
      <c r="G39" s="4">
        <f>260+4.4</f>
        <v>264.39999999999998</v>
      </c>
      <c r="H39" s="4">
        <f>43+22</f>
        <v>65</v>
      </c>
      <c r="I39" s="4"/>
      <c r="J39" s="4"/>
      <c r="K39" s="4">
        <v>23</v>
      </c>
      <c r="L39" s="4"/>
    </row>
    <row r="40" spans="2:12" ht="18" x14ac:dyDescent="0.3">
      <c r="B40" s="3">
        <v>37</v>
      </c>
      <c r="C40" s="3" t="s">
        <v>18</v>
      </c>
      <c r="D40" s="3" t="s">
        <v>10</v>
      </c>
      <c r="E40" s="4">
        <f>140+261.3+143.4+245.5+354+328.996</f>
        <v>1473.1959999999999</v>
      </c>
      <c r="F40" s="4">
        <f>60+20.33</f>
        <v>80.33</v>
      </c>
      <c r="G40" s="4">
        <f>682+160+20+160</f>
        <v>1022</v>
      </c>
      <c r="H40" s="4">
        <f>7.4+22.8+22+2</f>
        <v>54.2</v>
      </c>
      <c r="I40" s="4">
        <v>480</v>
      </c>
      <c r="J40" s="4"/>
      <c r="K40" s="4">
        <f>21+195+23+90.2+88+65</f>
        <v>482.2</v>
      </c>
      <c r="L40" s="4"/>
    </row>
    <row r="41" spans="2:12" ht="18" x14ac:dyDescent="0.3">
      <c r="B41" s="3">
        <v>38</v>
      </c>
      <c r="C41" s="3" t="s">
        <v>43</v>
      </c>
      <c r="D41" s="3" t="s">
        <v>10</v>
      </c>
      <c r="E41" s="4">
        <f>I42+72.2+34.3+109.1+140.5</f>
        <v>356.1</v>
      </c>
      <c r="F41" s="4"/>
      <c r="G41" s="4">
        <f>50.5+22.8</f>
        <v>73.3</v>
      </c>
      <c r="H41" s="4">
        <v>103.2</v>
      </c>
      <c r="I41" s="4"/>
      <c r="J41" s="4"/>
      <c r="K41" s="4"/>
      <c r="L41" s="4"/>
    </row>
    <row r="42" spans="2:12" ht="18" x14ac:dyDescent="0.3">
      <c r="B42" s="3">
        <v>39</v>
      </c>
      <c r="C42" s="3" t="s">
        <v>34</v>
      </c>
      <c r="D42" s="3" t="s">
        <v>10</v>
      </c>
      <c r="E42" s="4">
        <f>2652.2+1680+2493+68447.5+2572+4044.2+48180.1+6243.5+6847.05+1395.26+14198.68</f>
        <v>158753.49</v>
      </c>
      <c r="F42" s="4">
        <v>4.5</v>
      </c>
      <c r="G42" s="4">
        <v>1000</v>
      </c>
      <c r="H42" s="3"/>
      <c r="I42" s="3"/>
      <c r="J42" s="3"/>
      <c r="K42" s="3"/>
      <c r="L42" s="3"/>
    </row>
    <row r="43" spans="2:12" ht="18" x14ac:dyDescent="0.3">
      <c r="B43" s="3">
        <v>40</v>
      </c>
      <c r="C43" s="3" t="s">
        <v>87</v>
      </c>
      <c r="D43" s="3" t="s">
        <v>10</v>
      </c>
      <c r="E43" s="4"/>
      <c r="F43" s="4"/>
      <c r="G43" s="4"/>
      <c r="H43" s="3"/>
      <c r="I43" s="3"/>
      <c r="J43" s="3"/>
      <c r="K43" s="3"/>
      <c r="L43" s="3"/>
    </row>
    <row r="44" spans="2:12" x14ac:dyDescent="0.3">
      <c r="B44" s="3">
        <v>41</v>
      </c>
      <c r="C44" s="3" t="s">
        <v>35</v>
      </c>
      <c r="D44" s="3" t="s">
        <v>9</v>
      </c>
      <c r="E44" s="3"/>
      <c r="F44" s="3"/>
      <c r="G44" s="3"/>
      <c r="H44" s="3"/>
      <c r="I44" s="3"/>
      <c r="J44" s="3"/>
      <c r="K44" s="3"/>
      <c r="L44" s="3"/>
    </row>
    <row r="45" spans="2:12" x14ac:dyDescent="0.3">
      <c r="B45" s="3">
        <v>42</v>
      </c>
      <c r="C45" s="3" t="s">
        <v>97</v>
      </c>
      <c r="D45" s="3" t="s">
        <v>9</v>
      </c>
      <c r="E45" s="3">
        <f>264+90+225+779</f>
        <v>1358</v>
      </c>
      <c r="F45" s="3">
        <f>5150+7112+371+780+9870+65</f>
        <v>23348</v>
      </c>
      <c r="G45" s="3">
        <v>11</v>
      </c>
      <c r="H45" s="3">
        <f>15055+6+990</f>
        <v>16051</v>
      </c>
      <c r="I45" s="3"/>
      <c r="J45" s="3"/>
      <c r="K45" s="3"/>
      <c r="L45" s="3"/>
    </row>
    <row r="46" spans="2:12" ht="18" x14ac:dyDescent="0.35">
      <c r="B46" s="3">
        <v>43</v>
      </c>
      <c r="C46" s="3" t="s">
        <v>24</v>
      </c>
      <c r="D46" s="3" t="s">
        <v>7</v>
      </c>
      <c r="E46" s="6">
        <f>47+7</f>
        <v>54</v>
      </c>
      <c r="F46" s="6">
        <f>69+5+2+2+2</f>
        <v>80</v>
      </c>
      <c r="G46" s="3">
        <v>20</v>
      </c>
      <c r="H46" s="3">
        <f>58+7+4</f>
        <v>69</v>
      </c>
      <c r="I46" s="3"/>
      <c r="J46" s="3"/>
      <c r="K46" s="3"/>
      <c r="L46" s="3">
        <v>1</v>
      </c>
    </row>
    <row r="47" spans="2:12" ht="18" x14ac:dyDescent="0.35">
      <c r="B47" s="3">
        <v>44</v>
      </c>
      <c r="C47" s="3" t="s">
        <v>27</v>
      </c>
      <c r="D47" s="3" t="s">
        <v>7</v>
      </c>
      <c r="E47" s="6">
        <v>40</v>
      </c>
      <c r="F47" s="6">
        <f>35+1</f>
        <v>36</v>
      </c>
      <c r="G47" s="3">
        <v>4</v>
      </c>
      <c r="H47" s="3">
        <f>5+2+1</f>
        <v>8</v>
      </c>
      <c r="I47" s="3"/>
      <c r="J47" s="3"/>
      <c r="K47" s="3"/>
      <c r="L47" s="3"/>
    </row>
    <row r="48" spans="2:12" ht="18" x14ac:dyDescent="0.35">
      <c r="B48" s="3">
        <v>45</v>
      </c>
      <c r="C48" s="3" t="s">
        <v>66</v>
      </c>
      <c r="D48" s="3" t="s">
        <v>7</v>
      </c>
      <c r="E48" s="6">
        <v>1</v>
      </c>
      <c r="F48" s="6"/>
      <c r="G48" s="3"/>
      <c r="H48" s="3"/>
      <c r="I48" s="3"/>
      <c r="J48" s="3"/>
      <c r="K48" s="3"/>
      <c r="L48" s="3"/>
    </row>
    <row r="49" spans="2:12" ht="18" x14ac:dyDescent="0.35">
      <c r="B49" s="3">
        <v>46</v>
      </c>
      <c r="C49" s="3" t="s">
        <v>74</v>
      </c>
      <c r="D49" s="3" t="s">
        <v>7</v>
      </c>
      <c r="E49" s="6"/>
      <c r="F49" s="6">
        <v>12</v>
      </c>
      <c r="G49" s="3"/>
      <c r="H49" s="3"/>
      <c r="I49" s="3"/>
      <c r="J49" s="3"/>
      <c r="K49" s="3"/>
      <c r="L49" s="3"/>
    </row>
    <row r="50" spans="2:12" ht="18" x14ac:dyDescent="0.35">
      <c r="B50" s="3">
        <v>47</v>
      </c>
      <c r="C50" s="3" t="s">
        <v>76</v>
      </c>
      <c r="D50" s="3" t="s">
        <v>7</v>
      </c>
      <c r="E50" s="6"/>
      <c r="F50" s="6">
        <v>5</v>
      </c>
      <c r="G50" s="3"/>
      <c r="H50" s="3"/>
      <c r="I50" s="3"/>
      <c r="J50" s="3"/>
      <c r="K50" s="3"/>
      <c r="L50" s="3"/>
    </row>
    <row r="51" spans="2:12" ht="18" x14ac:dyDescent="0.35">
      <c r="B51" s="3">
        <v>48</v>
      </c>
      <c r="C51" s="3" t="s">
        <v>69</v>
      </c>
      <c r="D51" s="3" t="s">
        <v>10</v>
      </c>
      <c r="E51" s="6"/>
      <c r="F51" s="6"/>
      <c r="G51" s="3"/>
      <c r="H51" s="3"/>
      <c r="I51" s="3"/>
      <c r="J51" s="3"/>
      <c r="K51" s="3"/>
      <c r="L51" s="3"/>
    </row>
    <row r="52" spans="2:12" ht="18" x14ac:dyDescent="0.35">
      <c r="B52" s="3">
        <v>49</v>
      </c>
      <c r="C52" s="3" t="s">
        <v>77</v>
      </c>
      <c r="D52" s="3" t="s">
        <v>10</v>
      </c>
      <c r="E52" s="6">
        <v>48</v>
      </c>
      <c r="F52" s="6"/>
      <c r="G52" s="3"/>
      <c r="H52" s="3"/>
      <c r="I52" s="3"/>
      <c r="J52" s="3"/>
      <c r="K52" s="3"/>
      <c r="L52" s="3"/>
    </row>
    <row r="53" spans="2:12" ht="18" x14ac:dyDescent="0.35">
      <c r="B53" s="3">
        <v>50</v>
      </c>
      <c r="C53" s="3" t="s">
        <v>84</v>
      </c>
      <c r="D53" s="3" t="s">
        <v>10</v>
      </c>
      <c r="E53" s="6"/>
      <c r="F53" s="6"/>
      <c r="G53" s="3">
        <v>48</v>
      </c>
      <c r="H53" s="3"/>
      <c r="I53" s="3"/>
      <c r="J53" s="3"/>
      <c r="K53" s="3"/>
      <c r="L53" s="3"/>
    </row>
    <row r="54" spans="2:12" ht="18" x14ac:dyDescent="0.35">
      <c r="B54" s="3">
        <v>51</v>
      </c>
      <c r="C54" s="3" t="s">
        <v>57</v>
      </c>
      <c r="D54" s="3" t="s">
        <v>7</v>
      </c>
      <c r="E54" s="6"/>
      <c r="F54" s="6"/>
      <c r="G54" s="3">
        <f>15900+14000+14000+22000+1000+27500</f>
        <v>94400</v>
      </c>
      <c r="H54" s="3"/>
      <c r="I54" s="3"/>
      <c r="J54" s="3"/>
      <c r="K54" s="3"/>
      <c r="L54" s="3"/>
    </row>
    <row r="55" spans="2:12" ht="18" x14ac:dyDescent="0.35">
      <c r="B55" s="3">
        <v>52</v>
      </c>
      <c r="C55" s="3" t="s">
        <v>56</v>
      </c>
      <c r="D55" s="3" t="s">
        <v>7</v>
      </c>
      <c r="E55" s="6"/>
      <c r="F55" s="6"/>
      <c r="G55" s="3"/>
      <c r="H55" s="3">
        <f>100010+49700</f>
        <v>149710</v>
      </c>
      <c r="I55" s="3"/>
      <c r="J55" s="3"/>
      <c r="K55" s="3"/>
      <c r="L55" s="3"/>
    </row>
    <row r="56" spans="2:12" ht="18" x14ac:dyDescent="0.35">
      <c r="B56" s="3">
        <v>53</v>
      </c>
      <c r="C56" s="3" t="s">
        <v>48</v>
      </c>
      <c r="D56" s="3" t="s">
        <v>7</v>
      </c>
      <c r="E56" s="6"/>
      <c r="F56" s="6"/>
      <c r="G56" s="3">
        <f>10+6</f>
        <v>16</v>
      </c>
      <c r="H56" s="3">
        <f>33+2</f>
        <v>35</v>
      </c>
      <c r="I56" s="3"/>
      <c r="J56" s="3"/>
      <c r="K56" s="3"/>
      <c r="L56" s="3"/>
    </row>
    <row r="57" spans="2:12" ht="18" x14ac:dyDescent="0.3">
      <c r="B57" s="3">
        <v>54</v>
      </c>
      <c r="C57" s="3" t="s">
        <v>16</v>
      </c>
      <c r="D57" s="3" t="s">
        <v>10</v>
      </c>
      <c r="E57" s="4">
        <f>18.3+1.012</f>
        <v>19.312000000000001</v>
      </c>
      <c r="F57" s="4">
        <f>8.3+0.54</f>
        <v>8.84</v>
      </c>
      <c r="G57" s="3"/>
      <c r="H57" s="3">
        <v>121.6</v>
      </c>
      <c r="I57" s="3"/>
      <c r="J57" s="3"/>
      <c r="K57" s="3"/>
      <c r="L57" s="3"/>
    </row>
    <row r="58" spans="2:12" ht="18" x14ac:dyDescent="0.3">
      <c r="B58" s="3">
        <v>55</v>
      </c>
      <c r="C58" s="3" t="s">
        <v>95</v>
      </c>
      <c r="D58" s="3" t="s">
        <v>10</v>
      </c>
      <c r="E58" s="4">
        <f>34.6+7.3+21.4+26.5+8.8+24.5+41.8+26.2+28.4+24.269+1.214</f>
        <v>244.98299999999998</v>
      </c>
      <c r="F58" s="4"/>
      <c r="G58" s="4"/>
      <c r="H58" s="4"/>
      <c r="I58" s="4">
        <v>0.2</v>
      </c>
      <c r="J58" s="3"/>
      <c r="K58" s="3"/>
      <c r="L58" s="3"/>
    </row>
    <row r="59" spans="2:12" ht="18" x14ac:dyDescent="0.3">
      <c r="B59" s="3">
        <v>56</v>
      </c>
      <c r="C59" s="3" t="s">
        <v>70</v>
      </c>
      <c r="D59" s="3" t="s">
        <v>10</v>
      </c>
      <c r="E59" s="4">
        <f>53.9+20.332</f>
        <v>74.231999999999999</v>
      </c>
      <c r="F59" s="4"/>
      <c r="G59" s="4"/>
      <c r="H59" s="4">
        <v>4.4000000000000004</v>
      </c>
      <c r="I59" s="4"/>
      <c r="J59" s="3"/>
      <c r="K59" s="3"/>
      <c r="L59" s="3"/>
    </row>
    <row r="60" spans="2:12" ht="18" x14ac:dyDescent="0.35">
      <c r="B60" s="3">
        <v>57</v>
      </c>
      <c r="C60" s="3" t="s">
        <v>23</v>
      </c>
      <c r="D60" s="3" t="s">
        <v>10</v>
      </c>
      <c r="E60" s="6">
        <f>F61+F5053+41+12.5+8805.4+56.5+29.6+14.8+21+50.234+34.51+26.722</f>
        <v>9092.2659999999996</v>
      </c>
      <c r="F60" s="3"/>
      <c r="G60" s="3">
        <v>0.2</v>
      </c>
      <c r="H60" s="3"/>
      <c r="I60" s="3"/>
      <c r="J60" s="3"/>
      <c r="K60" s="3"/>
      <c r="L60" s="3"/>
    </row>
    <row r="61" spans="2:12" x14ac:dyDescent="0.3">
      <c r="B61" s="3">
        <v>58</v>
      </c>
      <c r="C61" s="3" t="s">
        <v>36</v>
      </c>
      <c r="D61" s="3" t="s">
        <v>10</v>
      </c>
      <c r="E61" s="3">
        <f>20.7+3.96</f>
        <v>24.66</v>
      </c>
      <c r="F61" s="3"/>
      <c r="G61" s="3"/>
      <c r="H61" s="3"/>
      <c r="I61" s="3"/>
      <c r="J61" s="3"/>
      <c r="K61" s="3"/>
      <c r="L61" s="3"/>
    </row>
    <row r="62" spans="2:12" x14ac:dyDescent="0.3">
      <c r="B62" s="3">
        <v>59</v>
      </c>
      <c r="C62" s="3" t="s">
        <v>65</v>
      </c>
      <c r="D62" s="3" t="s">
        <v>10</v>
      </c>
      <c r="E62" s="3"/>
      <c r="F62" s="3"/>
      <c r="G62" s="3"/>
      <c r="H62" s="3"/>
      <c r="I62" s="3"/>
      <c r="J62" s="3"/>
      <c r="K62" s="3"/>
      <c r="L62" s="3"/>
    </row>
    <row r="63" spans="2:12" x14ac:dyDescent="0.3">
      <c r="B63" s="3">
        <v>60</v>
      </c>
      <c r="C63" s="3" t="s">
        <v>67</v>
      </c>
      <c r="D63" s="3" t="s">
        <v>10</v>
      </c>
      <c r="E63" s="3"/>
      <c r="F63" s="3"/>
      <c r="G63" s="3"/>
      <c r="H63" s="3"/>
      <c r="I63" s="3"/>
      <c r="J63" s="3"/>
      <c r="K63" s="3"/>
      <c r="L63" s="3"/>
    </row>
    <row r="64" spans="2:12" x14ac:dyDescent="0.3">
      <c r="B64" s="3">
        <v>61</v>
      </c>
      <c r="C64" s="3" t="s">
        <v>72</v>
      </c>
      <c r="D64" s="3" t="s">
        <v>10</v>
      </c>
      <c r="E64" s="3"/>
      <c r="F64" s="3"/>
      <c r="G64" s="3"/>
      <c r="H64" s="3"/>
      <c r="I64" s="3"/>
      <c r="J64" s="3"/>
      <c r="K64" s="3"/>
      <c r="L64" s="3"/>
    </row>
    <row r="65" spans="2:12" x14ac:dyDescent="0.3">
      <c r="B65" s="3">
        <v>62</v>
      </c>
      <c r="C65" s="3" t="s">
        <v>96</v>
      </c>
      <c r="D65" s="3" t="s">
        <v>10</v>
      </c>
      <c r="E65" s="3">
        <f>20+19.2</f>
        <v>39.200000000000003</v>
      </c>
      <c r="F65" s="3"/>
      <c r="G65" s="3">
        <v>10.1</v>
      </c>
      <c r="H65" s="3"/>
      <c r="I65" s="3"/>
      <c r="J65" s="3"/>
      <c r="K65" s="3"/>
      <c r="L65" s="3"/>
    </row>
    <row r="66" spans="2:12" x14ac:dyDescent="0.3">
      <c r="B66" s="3">
        <v>63</v>
      </c>
      <c r="C66" s="3" t="s">
        <v>41</v>
      </c>
      <c r="D66" s="3" t="s">
        <v>10</v>
      </c>
      <c r="E66" s="3">
        <f>40+140</f>
        <v>180</v>
      </c>
      <c r="F66" s="3"/>
      <c r="G66" s="3">
        <f>2830+432+408+48</f>
        <v>3718</v>
      </c>
      <c r="H66" s="3"/>
      <c r="I66" s="3"/>
      <c r="J66" s="3"/>
      <c r="K66" s="3"/>
      <c r="L66" s="3"/>
    </row>
    <row r="67" spans="2:12" x14ac:dyDescent="0.3">
      <c r="B67" s="3">
        <v>64</v>
      </c>
      <c r="C67" s="3" t="s">
        <v>59</v>
      </c>
      <c r="D67" s="3" t="s">
        <v>7</v>
      </c>
      <c r="E67" s="3">
        <f>64000+90000+106200+180000+141000+246000+75000+130000+75000+63000</f>
        <v>1170200</v>
      </c>
      <c r="F67" s="3"/>
      <c r="G67" s="3"/>
      <c r="H67" s="3"/>
      <c r="I67" s="3"/>
      <c r="J67" s="3"/>
      <c r="K67" s="3"/>
      <c r="L67" s="3"/>
    </row>
    <row r="68" spans="2:12" x14ac:dyDescent="0.3">
      <c r="B68" s="3">
        <v>65</v>
      </c>
      <c r="C68" s="3" t="s">
        <v>42</v>
      </c>
      <c r="D68" s="3" t="s">
        <v>7</v>
      </c>
      <c r="E68" s="3">
        <f>138+851+173+893+535+169+297+245+385</f>
        <v>3686</v>
      </c>
      <c r="F68" s="3"/>
      <c r="G68" s="3">
        <v>100</v>
      </c>
      <c r="H68" s="3"/>
      <c r="I68" s="3"/>
      <c r="J68" s="3"/>
      <c r="K68" s="3"/>
      <c r="L68" s="3"/>
    </row>
    <row r="69" spans="2:12" x14ac:dyDescent="0.3">
      <c r="B69" s="3">
        <v>66</v>
      </c>
      <c r="C69" s="3" t="s">
        <v>63</v>
      </c>
      <c r="D69" s="3" t="s">
        <v>7</v>
      </c>
      <c r="E69" s="3"/>
      <c r="F69" s="3"/>
      <c r="G69" s="3"/>
      <c r="H69" s="3">
        <v>5</v>
      </c>
      <c r="I69" s="3"/>
      <c r="J69" s="3"/>
      <c r="K69" s="3"/>
      <c r="L69" s="3"/>
    </row>
    <row r="70" spans="2:12" x14ac:dyDescent="0.3">
      <c r="B70" s="3">
        <v>67</v>
      </c>
      <c r="C70" s="3" t="s">
        <v>64</v>
      </c>
      <c r="D70" s="3" t="s">
        <v>7</v>
      </c>
      <c r="E70" s="3"/>
      <c r="F70" s="3"/>
      <c r="G70" s="3"/>
      <c r="H70" s="3">
        <v>2</v>
      </c>
      <c r="I70" s="3"/>
      <c r="J70" s="3"/>
      <c r="K70" s="3"/>
      <c r="L70" s="3"/>
    </row>
    <row r="71" spans="2:12" x14ac:dyDescent="0.3">
      <c r="B71" s="3">
        <v>68</v>
      </c>
      <c r="C71" s="3" t="s">
        <v>88</v>
      </c>
      <c r="D71" s="3" t="s">
        <v>7</v>
      </c>
      <c r="E71" s="3"/>
      <c r="F71" s="3"/>
      <c r="G71" s="3"/>
      <c r="H71" s="3"/>
      <c r="I71" s="3"/>
      <c r="J71" s="3"/>
      <c r="K71" s="3"/>
      <c r="L71" s="3">
        <v>1</v>
      </c>
    </row>
    <row r="72" spans="2:12" x14ac:dyDescent="0.3">
      <c r="B72" s="3">
        <v>69</v>
      </c>
      <c r="C72" s="3" t="s">
        <v>68</v>
      </c>
      <c r="D72" s="3" t="s">
        <v>9</v>
      </c>
      <c r="E72" s="3"/>
      <c r="F72" s="3">
        <f>99617+9546+170</f>
        <v>109333</v>
      </c>
      <c r="G72" s="3">
        <v>330</v>
      </c>
      <c r="H72" s="3">
        <f>820+600</f>
        <v>1420</v>
      </c>
      <c r="I72" s="3"/>
      <c r="J72" s="3"/>
      <c r="K72" s="3"/>
      <c r="L72" s="3"/>
    </row>
    <row r="73" spans="2:12" x14ac:dyDescent="0.3">
      <c r="B73" s="3">
        <v>70</v>
      </c>
      <c r="C73" s="3" t="s">
        <v>85</v>
      </c>
      <c r="D73" s="3" t="s">
        <v>9</v>
      </c>
      <c r="E73" s="3"/>
      <c r="F73" s="3"/>
      <c r="G73" s="3"/>
      <c r="H73" s="3"/>
      <c r="I73" s="3"/>
      <c r="J73" s="3"/>
      <c r="K73" s="3"/>
      <c r="L73" s="3"/>
    </row>
    <row r="74" spans="2:12" x14ac:dyDescent="0.3">
      <c r="B74" s="3">
        <v>71</v>
      </c>
      <c r="C74" s="3" t="s">
        <v>37</v>
      </c>
      <c r="D74" s="3" t="s">
        <v>9</v>
      </c>
      <c r="E74" s="3"/>
      <c r="F74" s="3">
        <f>11+1+3</f>
        <v>15</v>
      </c>
      <c r="G74" s="3"/>
      <c r="H74" s="3"/>
      <c r="I74" s="3"/>
      <c r="J74" s="3">
        <v>1</v>
      </c>
      <c r="K74" s="3"/>
      <c r="L74" s="3"/>
    </row>
    <row r="75" spans="2:12" x14ac:dyDescent="0.3">
      <c r="B75" s="3">
        <v>72</v>
      </c>
      <c r="C75" s="3" t="s">
        <v>45</v>
      </c>
      <c r="D75" s="3" t="s">
        <v>10</v>
      </c>
      <c r="E75" s="3"/>
      <c r="F75" s="3"/>
      <c r="G75" s="3"/>
      <c r="H75" s="3"/>
      <c r="I75" s="3"/>
      <c r="J75" s="3"/>
      <c r="K75" s="3"/>
      <c r="L75" s="3"/>
    </row>
    <row r="76" spans="2:12" x14ac:dyDescent="0.3">
      <c r="B76" s="3">
        <v>73</v>
      </c>
      <c r="C76" s="3" t="s">
        <v>62</v>
      </c>
      <c r="D76" s="3" t="s">
        <v>10</v>
      </c>
      <c r="E76" s="3">
        <f>51+64+41+23.488+22+43</f>
        <v>244.488</v>
      </c>
      <c r="F76" s="3"/>
      <c r="G76" s="3"/>
      <c r="H76" s="3"/>
      <c r="I76" s="3">
        <f>21+63+20</f>
        <v>104</v>
      </c>
      <c r="J76" s="3"/>
      <c r="K76" s="3"/>
      <c r="L76" s="3"/>
    </row>
    <row r="77" spans="2:12" x14ac:dyDescent="0.3">
      <c r="B77" s="3">
        <v>74</v>
      </c>
      <c r="C77" s="3" t="s">
        <v>89</v>
      </c>
      <c r="D77" s="3" t="s">
        <v>10</v>
      </c>
      <c r="E77" s="3"/>
      <c r="F77" s="3"/>
      <c r="G77" s="3"/>
      <c r="H77" s="3"/>
      <c r="I77" s="3">
        <v>66</v>
      </c>
      <c r="J77" s="3"/>
      <c r="K77" s="3"/>
      <c r="L77" s="3"/>
    </row>
    <row r="78" spans="2:12" x14ac:dyDescent="0.3">
      <c r="B78" s="3">
        <v>75</v>
      </c>
      <c r="C78" s="3" t="s">
        <v>50</v>
      </c>
      <c r="D78" s="3" t="s">
        <v>49</v>
      </c>
      <c r="E78" s="3">
        <v>6500</v>
      </c>
      <c r="F78" s="3"/>
      <c r="G78" s="3"/>
      <c r="H78" s="3"/>
      <c r="I78" s="3"/>
      <c r="J78" s="3"/>
      <c r="K78" s="3"/>
      <c r="L78" s="3"/>
    </row>
    <row r="79" spans="2:12" x14ac:dyDescent="0.3">
      <c r="B79" s="3">
        <v>76</v>
      </c>
      <c r="C79" s="3" t="s">
        <v>47</v>
      </c>
      <c r="D79" s="3" t="s">
        <v>10</v>
      </c>
      <c r="E79" s="3"/>
      <c r="F79" s="3"/>
      <c r="G79" s="3"/>
      <c r="H79" s="3"/>
      <c r="I79" s="3"/>
      <c r="J79" s="3"/>
      <c r="K79" s="3"/>
      <c r="L79" s="3"/>
    </row>
    <row r="80" spans="2:12" ht="18" x14ac:dyDescent="0.3">
      <c r="B80" s="3">
        <v>77</v>
      </c>
      <c r="C80" s="3" t="s">
        <v>39</v>
      </c>
      <c r="D80" s="3" t="s">
        <v>10</v>
      </c>
      <c r="E80" s="4"/>
      <c r="F80" s="4"/>
      <c r="G80" s="4">
        <f>38.4+18.4+202</f>
        <v>258.8</v>
      </c>
      <c r="H80" s="4">
        <f>126+165.2+210+182.8</f>
        <v>684</v>
      </c>
      <c r="I80" s="4"/>
      <c r="J80" s="4">
        <f>760+412.3+352+66.5</f>
        <v>1590.8</v>
      </c>
      <c r="K80" s="3"/>
      <c r="L80" s="3"/>
    </row>
    <row r="81" spans="2:12" ht="18" x14ac:dyDescent="0.3">
      <c r="B81" s="3">
        <v>78</v>
      </c>
      <c r="C81" s="3" t="s">
        <v>83</v>
      </c>
      <c r="D81" s="3" t="s">
        <v>10</v>
      </c>
      <c r="E81" s="4">
        <f>30.8+0.56+19.931+29.876</f>
        <v>81.167000000000002</v>
      </c>
      <c r="F81" s="4"/>
      <c r="G81" s="4">
        <v>53</v>
      </c>
      <c r="H81" s="4"/>
      <c r="I81" s="4">
        <f>2.344+0.68</f>
        <v>3.024</v>
      </c>
      <c r="J81" s="4"/>
      <c r="K81" s="3"/>
      <c r="L81" s="3"/>
    </row>
    <row r="82" spans="2:12" ht="18" x14ac:dyDescent="0.3">
      <c r="B82" s="3">
        <v>79</v>
      </c>
      <c r="C82" s="3" t="s">
        <v>78</v>
      </c>
      <c r="D82" s="3" t="s">
        <v>10</v>
      </c>
      <c r="E82" s="4">
        <f>48.8+77.2+77.21+88+125.861+22</f>
        <v>439.07099999999997</v>
      </c>
      <c r="F82" s="4"/>
      <c r="G82" s="4">
        <f>0.2+26</f>
        <v>26.2</v>
      </c>
      <c r="H82" s="4"/>
      <c r="I82" s="4"/>
      <c r="J82" s="4"/>
      <c r="K82" s="3"/>
      <c r="L82" s="3"/>
    </row>
    <row r="83" spans="2:12" ht="18" x14ac:dyDescent="0.3">
      <c r="B83" s="3">
        <v>80</v>
      </c>
      <c r="C83" s="3" t="s">
        <v>79</v>
      </c>
      <c r="D83" s="3" t="s">
        <v>10</v>
      </c>
      <c r="E83" s="4">
        <v>1.3</v>
      </c>
      <c r="F83" s="4"/>
      <c r="G83" s="4"/>
      <c r="H83" s="4"/>
      <c r="I83" s="4"/>
      <c r="J83" s="4"/>
      <c r="K83" s="3"/>
      <c r="L83" s="3"/>
    </row>
    <row r="84" spans="2:12" ht="18" x14ac:dyDescent="0.3">
      <c r="B84" s="3">
        <v>81</v>
      </c>
      <c r="C84" s="3" t="s">
        <v>80</v>
      </c>
      <c r="D84" s="3" t="s">
        <v>9</v>
      </c>
      <c r="E84" s="4"/>
      <c r="F84" s="4"/>
      <c r="G84" s="4"/>
      <c r="H84" s="4"/>
      <c r="I84" s="4"/>
      <c r="J84" s="4"/>
      <c r="K84" s="3"/>
      <c r="L84" s="3"/>
    </row>
    <row r="85" spans="2:12" ht="18" x14ac:dyDescent="0.3">
      <c r="B85" s="3">
        <v>82</v>
      </c>
      <c r="C85" s="3" t="s">
        <v>81</v>
      </c>
      <c r="D85" s="3" t="s">
        <v>7</v>
      </c>
      <c r="E85" s="4"/>
      <c r="F85" s="4"/>
      <c r="G85" s="4"/>
      <c r="H85" s="4">
        <f>10000+2000</f>
        <v>12000</v>
      </c>
      <c r="I85" s="4"/>
      <c r="J85" s="4"/>
      <c r="K85" s="3"/>
      <c r="L85" s="3"/>
    </row>
    <row r="86" spans="2:12" ht="18" x14ac:dyDescent="0.3">
      <c r="B86" s="3">
        <v>83</v>
      </c>
      <c r="C86" s="3" t="s">
        <v>46</v>
      </c>
      <c r="D86" s="3" t="s">
        <v>10</v>
      </c>
      <c r="E86" s="4">
        <v>4.7249999999999996</v>
      </c>
      <c r="F86" s="4"/>
      <c r="G86" s="4"/>
      <c r="H86" s="4"/>
      <c r="I86" s="4"/>
      <c r="J86" s="4"/>
      <c r="K86" s="3"/>
      <c r="L86" s="3"/>
    </row>
    <row r="87" spans="2:12" ht="18" x14ac:dyDescent="0.3">
      <c r="B87" s="3">
        <v>84</v>
      </c>
      <c r="C87" s="3" t="s">
        <v>90</v>
      </c>
      <c r="D87" s="3" t="s">
        <v>10</v>
      </c>
      <c r="E87" s="4"/>
      <c r="F87" s="4"/>
      <c r="G87" s="4"/>
      <c r="H87" s="4"/>
      <c r="I87" s="4"/>
      <c r="J87" s="4"/>
      <c r="K87" s="4"/>
      <c r="L87" s="4"/>
    </row>
    <row r="88" spans="2:12" ht="18" x14ac:dyDescent="0.3">
      <c r="B88" s="3">
        <v>85</v>
      </c>
      <c r="C88" s="3" t="s">
        <v>91</v>
      </c>
      <c r="D88" s="3" t="s">
        <v>10</v>
      </c>
      <c r="E88" s="4">
        <v>0.249</v>
      </c>
      <c r="F88" s="4"/>
      <c r="G88" s="4"/>
      <c r="H88" s="4"/>
      <c r="I88" s="4">
        <v>175.3</v>
      </c>
      <c r="J88" s="4"/>
      <c r="K88" s="4"/>
      <c r="L88" s="4"/>
    </row>
    <row r="89" spans="2:12" ht="18" x14ac:dyDescent="0.3">
      <c r="B89" s="3">
        <v>86</v>
      </c>
      <c r="C89" s="3" t="s">
        <v>92</v>
      </c>
      <c r="D89" s="3" t="s">
        <v>10</v>
      </c>
      <c r="E89" s="4">
        <f>5.419+16.84+6.468</f>
        <v>28.727</v>
      </c>
      <c r="F89" s="4"/>
      <c r="G89" s="4"/>
      <c r="H89" s="4"/>
      <c r="I89" s="4"/>
      <c r="J89" s="4"/>
      <c r="K89" s="4"/>
      <c r="L89" s="4"/>
    </row>
    <row r="90" spans="2:12" ht="18" x14ac:dyDescent="0.3">
      <c r="B90" s="3">
        <v>87</v>
      </c>
      <c r="C90" s="3" t="s">
        <v>93</v>
      </c>
      <c r="D90" s="3" t="s">
        <v>10</v>
      </c>
      <c r="E90" s="4">
        <v>1.5840000000000001</v>
      </c>
      <c r="F90" s="4"/>
      <c r="G90" s="4"/>
      <c r="H90" s="4">
        <v>0.3</v>
      </c>
      <c r="I90" s="7"/>
      <c r="J90" s="4"/>
      <c r="K90" s="4"/>
      <c r="L90" s="4"/>
    </row>
    <row r="91" spans="2:12" ht="18" x14ac:dyDescent="0.3">
      <c r="B91" s="3">
        <v>88</v>
      </c>
      <c r="C91" s="3" t="s">
        <v>94</v>
      </c>
      <c r="D91" s="3" t="s">
        <v>10</v>
      </c>
      <c r="E91" s="4">
        <v>4.1399999999999997</v>
      </c>
      <c r="F91" s="4"/>
      <c r="G91" s="4"/>
      <c r="H91" s="4"/>
      <c r="I91" s="4"/>
      <c r="J91" s="4"/>
      <c r="K91" s="4"/>
      <c r="L91" s="4"/>
    </row>
    <row r="92" spans="2:12" x14ac:dyDescent="0.3">
      <c r="B92" s="3">
        <v>89</v>
      </c>
      <c r="C92" s="3" t="s">
        <v>99</v>
      </c>
      <c r="D92" s="3" t="s">
        <v>7</v>
      </c>
      <c r="E92" s="3"/>
      <c r="F92" s="3"/>
      <c r="G92" s="3"/>
      <c r="H92" s="3"/>
      <c r="I92" s="3"/>
      <c r="J92" s="3"/>
      <c r="K92" s="3"/>
      <c r="L92" s="3"/>
    </row>
    <row r="93" spans="2:12" x14ac:dyDescent="0.3">
      <c r="B93" s="3">
        <v>90</v>
      </c>
      <c r="C93" s="3" t="s">
        <v>100</v>
      </c>
      <c r="D93" s="3" t="s">
        <v>10</v>
      </c>
      <c r="E93" s="3">
        <f>22+41.01</f>
        <v>63.01</v>
      </c>
      <c r="F93" s="3"/>
      <c r="G93" s="3"/>
      <c r="H93" s="3"/>
      <c r="I93" s="3"/>
      <c r="J93" s="3"/>
      <c r="K93" s="3"/>
      <c r="L93" s="3"/>
    </row>
    <row r="94" spans="2:12" x14ac:dyDescent="0.3">
      <c r="B94" s="3">
        <v>91</v>
      </c>
      <c r="C94" s="3" t="s">
        <v>101</v>
      </c>
      <c r="D94" s="3" t="s">
        <v>10</v>
      </c>
      <c r="E94" s="3">
        <v>6.6</v>
      </c>
      <c r="F94" s="3"/>
      <c r="G94" s="3"/>
      <c r="H94" s="3"/>
      <c r="I94" s="3"/>
      <c r="J94" s="3"/>
      <c r="K94" s="3"/>
      <c r="L94" s="3"/>
    </row>
    <row r="95" spans="2:12" x14ac:dyDescent="0.3">
      <c r="B95" s="3">
        <v>92</v>
      </c>
      <c r="C95" s="3" t="s">
        <v>102</v>
      </c>
      <c r="D95" s="3" t="s">
        <v>10</v>
      </c>
      <c r="E95" s="3"/>
      <c r="F95" s="3"/>
      <c r="G95" s="3">
        <f>0.607+0.141</f>
        <v>0.748</v>
      </c>
      <c r="H95" s="3"/>
      <c r="I95" s="3"/>
      <c r="J95" s="3"/>
      <c r="K95" s="3"/>
      <c r="L95" s="3"/>
    </row>
    <row r="96" spans="2:12" x14ac:dyDescent="0.3">
      <c r="B96" s="3">
        <v>93</v>
      </c>
      <c r="C96" s="3" t="s">
        <v>103</v>
      </c>
      <c r="D96" s="3" t="s">
        <v>9</v>
      </c>
      <c r="E96" s="3"/>
      <c r="F96" s="3"/>
      <c r="G96" s="3"/>
      <c r="H96" s="3"/>
      <c r="I96" s="3"/>
      <c r="J96" s="3"/>
      <c r="K96" s="3"/>
      <c r="L96" s="3"/>
    </row>
    <row r="97" spans="2:12" x14ac:dyDescent="0.3">
      <c r="B97" s="3">
        <v>94</v>
      </c>
      <c r="C97" s="3" t="s">
        <v>104</v>
      </c>
      <c r="D97" s="3" t="s">
        <v>111</v>
      </c>
      <c r="E97" s="3"/>
      <c r="F97" s="3"/>
      <c r="G97" s="3"/>
      <c r="H97" s="3"/>
      <c r="I97" s="3"/>
      <c r="J97" s="3"/>
      <c r="K97" s="3"/>
      <c r="L97" s="3"/>
    </row>
    <row r="98" spans="2:12" x14ac:dyDescent="0.3">
      <c r="B98" s="3">
        <v>95</v>
      </c>
      <c r="C98" s="3" t="s">
        <v>105</v>
      </c>
      <c r="D98" s="3" t="s">
        <v>106</v>
      </c>
      <c r="E98" s="3"/>
      <c r="F98" s="3"/>
      <c r="G98" s="3"/>
      <c r="H98" s="3"/>
      <c r="I98" s="3"/>
      <c r="J98" s="3"/>
      <c r="K98" s="3"/>
      <c r="L98" s="3"/>
    </row>
    <row r="99" spans="2:12" x14ac:dyDescent="0.3">
      <c r="B99" s="3">
        <v>96</v>
      </c>
      <c r="C99" s="3" t="s">
        <v>107</v>
      </c>
      <c r="D99" s="3" t="s">
        <v>7</v>
      </c>
      <c r="E99" s="3"/>
      <c r="F99" s="3"/>
      <c r="G99" s="3">
        <v>2</v>
      </c>
      <c r="H99" s="3"/>
      <c r="I99" s="3"/>
      <c r="J99" s="3"/>
      <c r="K99" s="3"/>
      <c r="L99" s="3"/>
    </row>
    <row r="100" spans="2:12" x14ac:dyDescent="0.3">
      <c r="B100" s="3">
        <v>97</v>
      </c>
      <c r="C100" s="3" t="s">
        <v>108</v>
      </c>
      <c r="D100" s="3" t="s">
        <v>7</v>
      </c>
      <c r="E100" s="3"/>
      <c r="F100" s="3"/>
      <c r="G100" s="3">
        <v>1</v>
      </c>
      <c r="H100" s="3"/>
      <c r="I100" s="3"/>
      <c r="J100" s="3"/>
      <c r="K100" s="3"/>
      <c r="L100" s="3"/>
    </row>
    <row r="101" spans="2:12" x14ac:dyDescent="0.3">
      <c r="B101" s="3">
        <v>98</v>
      </c>
      <c r="C101" s="3" t="s">
        <v>109</v>
      </c>
      <c r="D101" s="3" t="s">
        <v>7</v>
      </c>
      <c r="E101" s="3"/>
      <c r="F101" s="3"/>
      <c r="G101" s="3">
        <v>1</v>
      </c>
      <c r="H101" s="3"/>
      <c r="I101" s="3"/>
      <c r="J101" s="3"/>
      <c r="K101" s="3"/>
      <c r="L101" s="3"/>
    </row>
    <row r="102" spans="2:12" x14ac:dyDescent="0.3">
      <c r="B102" s="3">
        <v>99</v>
      </c>
      <c r="C102" s="3" t="s">
        <v>110</v>
      </c>
      <c r="D102" s="3" t="s">
        <v>10</v>
      </c>
      <c r="E102" s="3">
        <v>0.4</v>
      </c>
      <c r="F102" s="3"/>
      <c r="G102" s="3"/>
      <c r="H102" s="3"/>
      <c r="I102" s="3"/>
      <c r="J102" s="3"/>
      <c r="K102" s="3"/>
      <c r="L102" s="3"/>
    </row>
    <row r="106" spans="2:12" x14ac:dyDescent="0.3">
      <c r="D106" s="8"/>
      <c r="E106" s="8"/>
      <c r="F106" s="8"/>
      <c r="G106" s="8"/>
      <c r="H106" s="8"/>
      <c r="I106" s="8"/>
      <c r="J106" s="8"/>
      <c r="K106" s="8"/>
      <c r="L106" s="8"/>
    </row>
  </sheetData>
  <mergeCells count="8">
    <mergeCell ref="I2:J2"/>
    <mergeCell ref="K2:L2"/>
    <mergeCell ref="B1:L1"/>
    <mergeCell ref="B2:B3"/>
    <mergeCell ref="C2:C3"/>
    <mergeCell ref="D2:D3"/>
    <mergeCell ref="E2:F2"/>
    <mergeCell ref="G2:H2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2023-12-25T05:17:57Z</dcterms:modified>
</cp:coreProperties>
</file>