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30" windowHeight="7095" tabRatio="595" activeTab="3"/>
  </bookViews>
  <sheets>
    <sheet name="ЕАЭС" sheetId="15" r:id="rId1"/>
    <sheet name="Импорт" sheetId="14" r:id="rId2"/>
    <sheet name="Экспорт" sheetId="25" r:id="rId3"/>
    <sheet name="Свод" sheetId="16" r:id="rId4"/>
    <sheet name="Сравнительный анализ" sheetId="20" r:id="rId5"/>
  </sheets>
  <definedNames>
    <definedName name="_xlnm._FilterDatabase" localSheetId="0" hidden="1">ЕАЭС!$B$2:$O$104</definedName>
    <definedName name="_xlnm._FilterDatabase" localSheetId="1" hidden="1">Импорт!$A$2:$AO$42</definedName>
    <definedName name="_xlnm._FilterDatabase" localSheetId="3" hidden="1">Свод!$B$2:$G$105</definedName>
    <definedName name="_xlnm._FilterDatabase" localSheetId="4" hidden="1">'Сравнительный анализ'!$H$3:$I$105</definedName>
    <definedName name="_xlnm._FilterDatabase" localSheetId="2" hidden="1">Экспорт!$A$2:$AX$43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1" i="20" l="1"/>
  <c r="I103" i="20"/>
  <c r="I104" i="20"/>
  <c r="I105" i="20"/>
  <c r="H102" i="20"/>
  <c r="H104" i="20"/>
  <c r="H105" i="20"/>
  <c r="D4" i="20"/>
  <c r="F14" i="16" l="1"/>
  <c r="E14" i="16"/>
  <c r="AX47" i="25"/>
  <c r="AX48" i="25"/>
  <c r="AA32" i="25"/>
  <c r="E35" i="25"/>
  <c r="AW11" i="25"/>
  <c r="AU11" i="25"/>
  <c r="AT11" i="25"/>
  <c r="N9" i="25"/>
  <c r="AN9" i="25"/>
  <c r="S9" i="25"/>
  <c r="AO9" i="25"/>
  <c r="E9" i="25"/>
  <c r="E41" i="25"/>
  <c r="F46" i="25"/>
  <c r="E31" i="25"/>
  <c r="D10" i="25"/>
  <c r="G29" i="25"/>
  <c r="G16" i="25"/>
  <c r="M14" i="25"/>
  <c r="AW13" i="25"/>
  <c r="E13" i="25"/>
  <c r="AW12" i="25"/>
  <c r="R7" i="25"/>
  <c r="H7" i="25"/>
  <c r="G7" i="25"/>
  <c r="E4" i="25"/>
  <c r="AO46" i="14"/>
  <c r="AB23" i="14"/>
  <c r="D31" i="14"/>
  <c r="E18" i="14"/>
  <c r="F14" i="14"/>
  <c r="S12" i="14"/>
  <c r="E41" i="14"/>
  <c r="T34" i="14"/>
  <c r="W8" i="14"/>
  <c r="D25" i="14"/>
  <c r="S11" i="14" l="1"/>
  <c r="E26" i="14"/>
  <c r="X19" i="14"/>
  <c r="T24" i="14"/>
  <c r="E24" i="14"/>
  <c r="E27" i="14"/>
  <c r="S15" i="14"/>
  <c r="AN13" i="14"/>
  <c r="J13" i="14"/>
  <c r="Y13" i="14"/>
  <c r="S13" i="14"/>
  <c r="H13" i="14"/>
  <c r="G13" i="14"/>
  <c r="Z10" i="14"/>
  <c r="AC10" i="14"/>
  <c r="T10" i="14"/>
  <c r="Q10" i="14"/>
  <c r="S10" i="14"/>
  <c r="G10" i="14"/>
  <c r="D10" i="14"/>
  <c r="AA9" i="14"/>
  <c r="D9" i="14" l="1"/>
  <c r="S8" i="14"/>
  <c r="D8" i="14"/>
  <c r="AA6" i="14"/>
  <c r="F6" i="14" l="1"/>
  <c r="D6" i="14"/>
  <c r="Z4" i="14"/>
  <c r="E4" i="14"/>
  <c r="N57" i="15"/>
  <c r="N44" i="15"/>
  <c r="E95" i="15"/>
  <c r="N93" i="15" l="1"/>
  <c r="F98" i="15"/>
  <c r="F53" i="15"/>
  <c r="G35" i="15"/>
  <c r="H99" i="15"/>
  <c r="E47" i="15" l="1"/>
  <c r="E52" i="15"/>
  <c r="F65" i="15"/>
  <c r="E65" i="15"/>
  <c r="M14" i="15" l="1"/>
  <c r="F57" i="15"/>
  <c r="E57" i="15"/>
  <c r="N72" i="15"/>
  <c r="M82" i="15"/>
  <c r="H50" i="15"/>
  <c r="E70" i="15"/>
  <c r="N68" i="15"/>
  <c r="G68" i="15"/>
  <c r="E68" i="15"/>
  <c r="N36" i="15"/>
  <c r="E79" i="15"/>
  <c r="M78" i="15"/>
  <c r="G89" i="15"/>
  <c r="M47" i="15"/>
  <c r="H83" i="15"/>
  <c r="E83" i="15"/>
  <c r="N40" i="15"/>
  <c r="G76" i="15"/>
  <c r="E76" i="15"/>
  <c r="H75" i="15"/>
  <c r="G75" i="15"/>
  <c r="E75" i="15"/>
  <c r="N37" i="15"/>
  <c r="E73" i="15"/>
  <c r="G71" i="15"/>
  <c r="E71" i="15"/>
  <c r="I69" i="15"/>
  <c r="H69" i="15"/>
  <c r="E69" i="15"/>
  <c r="M67" i="15"/>
  <c r="E67" i="15"/>
  <c r="E66" i="15"/>
  <c r="G64" i="15"/>
  <c r="M63" i="15"/>
  <c r="F63" i="15" l="1"/>
  <c r="N62" i="15"/>
  <c r="N61" i="15"/>
  <c r="M60" i="15"/>
  <c r="E60" i="15"/>
  <c r="G59" i="15"/>
  <c r="E59" i="15"/>
  <c r="N58" i="15"/>
  <c r="F58" i="15"/>
  <c r="N56" i="15"/>
  <c r="H56" i="15"/>
  <c r="F56" i="15"/>
  <c r="N55" i="15"/>
  <c r="F55" i="15"/>
  <c r="G18" i="15"/>
  <c r="E48" i="15" l="1"/>
  <c r="N51" i="15"/>
  <c r="M51" i="15"/>
  <c r="G51" i="15"/>
  <c r="F51" i="15"/>
  <c r="M50" i="15"/>
  <c r="M49" i="15"/>
  <c r="G50" i="15"/>
  <c r="F50" i="15"/>
  <c r="E49" i="15"/>
  <c r="G48" i="15"/>
  <c r="I47" i="15"/>
  <c r="G47" i="15"/>
  <c r="E46" i="15"/>
  <c r="N34" i="15"/>
  <c r="M33" i="15"/>
  <c r="E33" i="15"/>
  <c r="M31" i="15"/>
  <c r="G31" i="15"/>
  <c r="E31" i="15"/>
  <c r="M30" i="15"/>
  <c r="I30" i="15"/>
  <c r="H30" i="15"/>
  <c r="G30" i="15"/>
  <c r="F30" i="15"/>
  <c r="E30" i="15"/>
  <c r="H29" i="15"/>
  <c r="G29" i="15"/>
  <c r="E29" i="15"/>
  <c r="E26" i="15"/>
  <c r="I28" i="15"/>
  <c r="G28" i="15"/>
  <c r="E28" i="15"/>
  <c r="E24" i="15"/>
  <c r="M23" i="15"/>
  <c r="M25" i="15"/>
  <c r="E25" i="15"/>
  <c r="H17" i="15"/>
  <c r="I22" i="15"/>
  <c r="G22" i="15"/>
  <c r="E22" i="15"/>
  <c r="E21" i="15"/>
  <c r="E20" i="15"/>
  <c r="M19" i="15"/>
  <c r="H19" i="15"/>
  <c r="G19" i="15"/>
  <c r="E19" i="15"/>
  <c r="M15" i="15" l="1"/>
  <c r="I15" i="15"/>
  <c r="H15" i="15"/>
  <c r="G15" i="15"/>
  <c r="F15" i="15"/>
  <c r="E15" i="15"/>
  <c r="N14" i="15"/>
  <c r="I14" i="15"/>
  <c r="H14" i="15"/>
  <c r="G14" i="15"/>
  <c r="F14" i="15"/>
  <c r="E14" i="15"/>
  <c r="G13" i="15"/>
  <c r="E13" i="15"/>
  <c r="M12" i="15"/>
  <c r="I12" i="15"/>
  <c r="E12" i="15"/>
  <c r="G11" i="15"/>
  <c r="E10" i="15"/>
  <c r="N9" i="15"/>
  <c r="M9" i="15"/>
  <c r="I9" i="15"/>
  <c r="N8" i="15"/>
  <c r="M8" i="15"/>
  <c r="I8" i="15"/>
  <c r="H8" i="15"/>
  <c r="H9" i="15"/>
  <c r="G8" i="15"/>
  <c r="F8" i="15"/>
  <c r="E8" i="15"/>
  <c r="G7" i="15"/>
  <c r="M6" i="15"/>
  <c r="I6" i="15"/>
  <c r="H6" i="15"/>
  <c r="G6" i="15"/>
  <c r="F6" i="15"/>
  <c r="E6" i="15"/>
  <c r="E5" i="15"/>
  <c r="N4" i="15"/>
  <c r="E4" i="15"/>
  <c r="I4" i="20" l="1"/>
  <c r="I5" i="20"/>
  <c r="I6" i="20"/>
  <c r="I8" i="20"/>
  <c r="I9" i="20"/>
  <c r="I10" i="20"/>
  <c r="I11" i="20"/>
  <c r="I12" i="20"/>
  <c r="I13" i="20"/>
  <c r="I14" i="20"/>
  <c r="H5" i="20"/>
  <c r="H6" i="20"/>
  <c r="H7" i="20"/>
  <c r="H8" i="20"/>
  <c r="H9" i="20"/>
  <c r="H10" i="20"/>
  <c r="H11" i="20"/>
  <c r="H12" i="20"/>
  <c r="H13" i="20"/>
  <c r="I16" i="20"/>
  <c r="I17" i="20"/>
  <c r="I18" i="20"/>
  <c r="I19" i="20"/>
  <c r="I20" i="20"/>
  <c r="I22" i="20"/>
  <c r="I23" i="20"/>
  <c r="I26" i="20"/>
  <c r="I27" i="20"/>
  <c r="I28" i="20"/>
  <c r="I29" i="20"/>
  <c r="I30" i="20"/>
  <c r="I31" i="20"/>
  <c r="I33" i="20"/>
  <c r="I35" i="20"/>
  <c r="I37" i="20"/>
  <c r="I38" i="20"/>
  <c r="I39" i="20"/>
  <c r="I40" i="20"/>
  <c r="I41" i="20"/>
  <c r="I42" i="20"/>
  <c r="I44" i="20"/>
  <c r="I45" i="20"/>
  <c r="I46" i="20"/>
  <c r="I47" i="20"/>
  <c r="I48" i="20"/>
  <c r="I49" i="20"/>
  <c r="I50" i="20"/>
  <c r="I51" i="20"/>
  <c r="I52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8" i="20"/>
  <c r="I69" i="20"/>
  <c r="I70" i="20"/>
  <c r="I71" i="20"/>
  <c r="I72" i="20"/>
  <c r="I73" i="20"/>
  <c r="I75" i="20"/>
  <c r="I76" i="20"/>
  <c r="I78" i="20"/>
  <c r="I79" i="20"/>
  <c r="I81" i="20"/>
  <c r="I82" i="20"/>
  <c r="I83" i="20"/>
  <c r="I84" i="20"/>
  <c r="I86" i="20"/>
  <c r="I87" i="20"/>
  <c r="I93" i="20"/>
  <c r="I94" i="20"/>
  <c r="I95" i="20"/>
  <c r="I96" i="20"/>
  <c r="I97" i="20"/>
  <c r="I99" i="20"/>
  <c r="I100" i="20"/>
  <c r="H17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6" i="20"/>
  <c r="H37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5" i="20"/>
  <c r="H56" i="20"/>
  <c r="H57" i="20"/>
  <c r="H58" i="20"/>
  <c r="H59" i="20"/>
  <c r="H60" i="20"/>
  <c r="H61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8" i="20"/>
  <c r="H89" i="20"/>
  <c r="H90" i="20"/>
  <c r="H91" i="20"/>
  <c r="H92" i="20"/>
  <c r="H93" i="20"/>
  <c r="H95" i="20"/>
  <c r="H96" i="20"/>
  <c r="H98" i="20"/>
  <c r="H100" i="20"/>
  <c r="H101" i="20"/>
  <c r="H14" i="20"/>
  <c r="G54" i="15" l="1"/>
  <c r="AX46" i="25" l="1"/>
  <c r="AP37" i="25"/>
  <c r="W11" i="25"/>
  <c r="E25" i="25"/>
  <c r="G33" i="25"/>
  <c r="D32" i="25"/>
  <c r="D28" i="25"/>
  <c r="E18" i="25"/>
  <c r="D16" i="25"/>
  <c r="AJ12" i="25"/>
  <c r="G12" i="25"/>
  <c r="E7" i="25"/>
  <c r="E6" i="25"/>
  <c r="E5" i="25"/>
  <c r="AO43" i="14"/>
  <c r="AO44" i="14"/>
  <c r="AO45" i="14"/>
  <c r="D12" i="14"/>
  <c r="S21" i="14"/>
  <c r="AD35" i="14"/>
  <c r="F19" i="14"/>
  <c r="S27" i="14"/>
  <c r="AJ9" i="14"/>
  <c r="S9" i="14"/>
  <c r="I9" i="14"/>
  <c r="T7" i="14"/>
  <c r="AM6" i="14"/>
  <c r="AO5" i="14"/>
  <c r="AH4" i="14"/>
  <c r="N43" i="15"/>
  <c r="N16" i="15"/>
  <c r="H100" i="15"/>
  <c r="H70" i="15"/>
  <c r="M36" i="15"/>
  <c r="I79" i="15"/>
  <c r="E78" i="15"/>
  <c r="E89" i="15"/>
  <c r="J37" i="15"/>
  <c r="N45" i="15"/>
  <c r="G69" i="15"/>
  <c r="F69" i="15"/>
  <c r="H67" i="15"/>
  <c r="G60" i="15"/>
  <c r="N59" i="15"/>
  <c r="G58" i="15"/>
  <c r="E55" i="15"/>
  <c r="N54" i="15"/>
  <c r="M54" i="15"/>
  <c r="H51" i="15"/>
  <c r="E51" i="15"/>
  <c r="E50" i="15"/>
  <c r="G49" i="15"/>
  <c r="M48" i="15"/>
  <c r="I31" i="15"/>
  <c r="G26" i="15"/>
  <c r="I25" i="15"/>
  <c r="I19" i="15"/>
  <c r="H18" i="15"/>
  <c r="F18" i="15"/>
  <c r="I13" i="15"/>
  <c r="H12" i="15"/>
  <c r="G12" i="15"/>
  <c r="G9" i="15"/>
  <c r="E9" i="15"/>
  <c r="J8" i="15"/>
  <c r="N6" i="15"/>
  <c r="N5" i="15"/>
  <c r="H16" i="20" l="1"/>
  <c r="AX45" i="25" l="1"/>
  <c r="G17" i="25"/>
  <c r="N74" i="15"/>
  <c r="AX44" i="25" l="1"/>
  <c r="D19" i="25"/>
  <c r="E34" i="25"/>
  <c r="AJ11" i="25"/>
  <c r="AI11" i="25"/>
  <c r="AP9" i="25"/>
  <c r="D7" i="25"/>
  <c r="AX4" i="25"/>
  <c r="AO40" i="14"/>
  <c r="AO41" i="14"/>
  <c r="AO42" i="14"/>
  <c r="AD30" i="14"/>
  <c r="D11" i="14"/>
  <c r="AF23" i="14"/>
  <c r="S26" i="14"/>
  <c r="V17" i="14"/>
  <c r="AK15" i="14"/>
  <c r="E15" i="14"/>
  <c r="I13" i="14"/>
  <c r="R10" i="14"/>
  <c r="S7" i="14"/>
  <c r="AG6" i="14"/>
  <c r="N38" i="15"/>
  <c r="M27" i="15"/>
  <c r="N47" i="15"/>
  <c r="F78" i="15"/>
  <c r="H94" i="15"/>
  <c r="M45" i="15"/>
  <c r="H58" i="15"/>
  <c r="H55" i="15"/>
  <c r="H26" i="15"/>
  <c r="H28" i="15"/>
  <c r="I18" i="15"/>
  <c r="N15" i="15"/>
  <c r="F12" i="15"/>
  <c r="H4" i="20" l="1"/>
  <c r="AX43" i="25" l="1"/>
  <c r="AX39" i="25"/>
  <c r="AX40" i="25"/>
  <c r="AX41" i="25"/>
  <c r="AX42" i="25"/>
  <c r="AU12" i="25"/>
  <c r="Z11" i="25"/>
  <c r="X11" i="25"/>
  <c r="P9" i="25"/>
  <c r="AE11" i="25"/>
  <c r="AF11" i="25"/>
  <c r="E38" i="25"/>
  <c r="E29" i="25"/>
  <c r="E21" i="25"/>
  <c r="D9" i="25"/>
  <c r="AQ6" i="25"/>
  <c r="AO35" i="14" l="1"/>
  <c r="AO36" i="14"/>
  <c r="AO37" i="14"/>
  <c r="AO38" i="14"/>
  <c r="AO39" i="14"/>
  <c r="S14" i="14"/>
  <c r="G34" i="14"/>
  <c r="Y23" i="14"/>
  <c r="H36" i="15" l="1"/>
  <c r="E81" i="15"/>
  <c r="E87" i="15"/>
  <c r="H92" i="15"/>
  <c r="G83" i="15"/>
  <c r="G67" i="15"/>
  <c r="F61" i="15" l="1"/>
  <c r="N49" i="15" l="1"/>
  <c r="N25" i="15"/>
  <c r="N22" i="15"/>
  <c r="H22" i="15"/>
  <c r="E18" i="15"/>
  <c r="AX11" i="25" l="1"/>
  <c r="T9" i="25"/>
  <c r="AO34" i="14"/>
  <c r="AE32" i="14" l="1"/>
  <c r="M42" i="15"/>
  <c r="E20" i="14" l="1"/>
  <c r="AO33" i="14"/>
  <c r="AX38" i="25"/>
  <c r="J16" i="25"/>
  <c r="G65" i="15"/>
  <c r="M62" i="15"/>
  <c r="F29" i="15"/>
  <c r="M88" i="15" l="1"/>
  <c r="AK28" i="14" l="1"/>
  <c r="AX36" i="25" l="1"/>
  <c r="AX37" i="25"/>
  <c r="M23" i="25" l="1"/>
  <c r="AX33" i="25" l="1"/>
  <c r="AX34" i="25"/>
  <c r="AX35" i="25"/>
  <c r="E8" i="25"/>
  <c r="AO30" i="14" l="1"/>
  <c r="AO31" i="14"/>
  <c r="AO32" i="14"/>
  <c r="E23" i="15" l="1"/>
  <c r="H32" i="15" l="1"/>
  <c r="G5" i="15" l="1"/>
  <c r="AO29" i="14" l="1"/>
  <c r="M64" i="15" l="1"/>
  <c r="G32" i="15" l="1"/>
  <c r="I29" i="15"/>
  <c r="G20" i="15"/>
  <c r="G4" i="15"/>
  <c r="AX30" i="25"/>
  <c r="AX31" i="25"/>
  <c r="AX32" i="25"/>
  <c r="AS9" i="25"/>
  <c r="AO27" i="14"/>
  <c r="AO28" i="14"/>
  <c r="U16" i="14"/>
  <c r="AL9" i="14"/>
  <c r="AA4" i="14"/>
  <c r="AO4" i="14" s="1"/>
  <c r="AX26" i="25" l="1"/>
  <c r="AX27" i="25"/>
  <c r="AX28" i="25"/>
  <c r="AX29" i="25"/>
  <c r="AP25" i="25"/>
  <c r="I6" i="25"/>
  <c r="AO24" i="14"/>
  <c r="AO25" i="14"/>
  <c r="AO26" i="14"/>
  <c r="W12" i="14"/>
  <c r="AO13" i="14" l="1"/>
  <c r="AX23" i="25" l="1"/>
  <c r="AX24" i="25"/>
  <c r="AX25" i="25"/>
  <c r="AO22" i="14"/>
  <c r="AO23" i="14"/>
  <c r="AX22" i="25" l="1"/>
  <c r="AO21" i="14"/>
  <c r="AO19" i="14" l="1"/>
  <c r="AO20" i="14"/>
  <c r="AX21" i="25"/>
  <c r="AO18" i="14"/>
  <c r="AX18" i="25" l="1"/>
  <c r="AX19" i="25"/>
  <c r="AX20" i="25"/>
  <c r="AX13" i="25"/>
  <c r="AX14" i="25"/>
  <c r="AX15" i="25"/>
  <c r="AX16" i="25"/>
  <c r="AX17" i="25"/>
  <c r="AO17" i="14" l="1"/>
  <c r="AO16" i="14"/>
  <c r="AX12" i="25" l="1"/>
  <c r="AX10" i="25"/>
  <c r="AX9" i="25"/>
  <c r="AX8" i="25"/>
  <c r="AX7" i="25"/>
  <c r="AX6" i="25"/>
  <c r="AX5" i="25"/>
  <c r="AO7" i="14" l="1"/>
  <c r="AO8" i="14"/>
  <c r="AO9" i="14"/>
  <c r="AO11" i="14"/>
  <c r="AO12" i="14"/>
  <c r="AO14" i="14"/>
  <c r="AO15" i="14"/>
  <c r="AO10" i="14" l="1"/>
  <c r="AO6" i="14"/>
</calcChain>
</file>

<file path=xl/sharedStrings.xml><?xml version="1.0" encoding="utf-8"?>
<sst xmlns="http://schemas.openxmlformats.org/spreadsheetml/2006/main" count="1001" uniqueCount="208">
  <si>
    <t>Вид животных и наименование продуктов и сырья животного происхождения</t>
  </si>
  <si>
    <t>Российская Федерация</t>
  </si>
  <si>
    <t>Республика Казахстан</t>
  </si>
  <si>
    <t>Республика Беларусь</t>
  </si>
  <si>
    <t>Республика Армения</t>
  </si>
  <si>
    <t>Третьи страны</t>
  </si>
  <si>
    <t>ввоз</t>
  </si>
  <si>
    <t>вывоз</t>
  </si>
  <si>
    <t>гол.</t>
  </si>
  <si>
    <t>шт.</t>
  </si>
  <si>
    <t>тн.</t>
  </si>
  <si>
    <t>транзит</t>
  </si>
  <si>
    <t>№</t>
  </si>
  <si>
    <t>КРС</t>
  </si>
  <si>
    <t>МРС</t>
  </si>
  <si>
    <t>Узбекистан</t>
  </si>
  <si>
    <t>КНР</t>
  </si>
  <si>
    <t>Ед. изм</t>
  </si>
  <si>
    <t>свод</t>
  </si>
  <si>
    <t>п/п №</t>
  </si>
  <si>
    <t>Разница</t>
  </si>
  <si>
    <t>Турция</t>
  </si>
  <si>
    <t>Мясо птицы</t>
  </si>
  <si>
    <t>Куриные лапки</t>
  </si>
  <si>
    <t>Кормовые добавки</t>
  </si>
  <si>
    <t>Иран</t>
  </si>
  <si>
    <t>Сыр</t>
  </si>
  <si>
    <t>Молочная продукция</t>
  </si>
  <si>
    <t>Мясная продукция</t>
  </si>
  <si>
    <t>Колбасные изделия</t>
  </si>
  <si>
    <t>Рыба замороженная и морепродукты</t>
  </si>
  <si>
    <t>Рыбные консервы</t>
  </si>
  <si>
    <t xml:space="preserve">Яйца продовольственное </t>
  </si>
  <si>
    <t xml:space="preserve">Яйца инкубационные </t>
  </si>
  <si>
    <t>Шоро</t>
  </si>
  <si>
    <t>Мёд натуральный</t>
  </si>
  <si>
    <t>Натуральный мёд</t>
  </si>
  <si>
    <t>Зерно фуражное</t>
  </si>
  <si>
    <t>Корм для непродуктивных животных</t>
  </si>
  <si>
    <t>Корм для собак и кошек</t>
  </si>
  <si>
    <t>Корм для рыб</t>
  </si>
  <si>
    <t>Шерсть МРС</t>
  </si>
  <si>
    <t>Корм для животных и птиц</t>
  </si>
  <si>
    <t xml:space="preserve">Масло сливочное </t>
  </si>
  <si>
    <t>Япония</t>
  </si>
  <si>
    <t>Ветпрепараты</t>
  </si>
  <si>
    <t>Польша</t>
  </si>
  <si>
    <t>Литва</t>
  </si>
  <si>
    <t xml:space="preserve">Охотничий трофей </t>
  </si>
  <si>
    <t xml:space="preserve">Бычий стержень </t>
  </si>
  <si>
    <t>Икра оплодотворенная</t>
  </si>
  <si>
    <t>Италия</t>
  </si>
  <si>
    <t>Испания</t>
  </si>
  <si>
    <t>Дания</t>
  </si>
  <si>
    <t>Охотничий трофей</t>
  </si>
  <si>
    <t>ОАЭ</t>
  </si>
  <si>
    <t>Кувейт</t>
  </si>
  <si>
    <t>Южная Корея</t>
  </si>
  <si>
    <t>США</t>
  </si>
  <si>
    <t>Бычий стержень</t>
  </si>
  <si>
    <t>Говядина</t>
  </si>
  <si>
    <t>Молоко пастеризованное</t>
  </si>
  <si>
    <t>Йогурт</t>
  </si>
  <si>
    <t>Вет Блю Шкур КРС</t>
  </si>
  <si>
    <t xml:space="preserve">Субпродукты КРС </t>
  </si>
  <si>
    <t>Мороженое</t>
  </si>
  <si>
    <t>Детское питание</t>
  </si>
  <si>
    <t>Суточные цыплята</t>
  </si>
  <si>
    <t>Жир говяжий</t>
  </si>
  <si>
    <t>Молочные консервы</t>
  </si>
  <si>
    <t>Продукты питания</t>
  </si>
  <si>
    <t xml:space="preserve">Икра </t>
  </si>
  <si>
    <t>Кормовая мука</t>
  </si>
  <si>
    <t>Шрот</t>
  </si>
  <si>
    <t>Шкур МРС</t>
  </si>
  <si>
    <t>Субпродукты птиц</t>
  </si>
  <si>
    <t>Сливки</t>
  </si>
  <si>
    <t>Свиньи</t>
  </si>
  <si>
    <t>Конские шкуры</t>
  </si>
  <si>
    <t>Украина</t>
  </si>
  <si>
    <t>Инкубационные яйца</t>
  </si>
  <si>
    <t>Вьетнам</t>
  </si>
  <si>
    <t>Шкура Вет Блю КРС</t>
  </si>
  <si>
    <t>Пакистан</t>
  </si>
  <si>
    <t>Субпродукты КРС</t>
  </si>
  <si>
    <t xml:space="preserve">Лошади </t>
  </si>
  <si>
    <t>Лошади</t>
  </si>
  <si>
    <t xml:space="preserve">Собаки </t>
  </si>
  <si>
    <t>Кошки</t>
  </si>
  <si>
    <t>Говяжьи книжки</t>
  </si>
  <si>
    <t>Мясные консервы</t>
  </si>
  <si>
    <t>Рыбий жир</t>
  </si>
  <si>
    <t>литр</t>
  </si>
  <si>
    <t>Сухое молоко</t>
  </si>
  <si>
    <t>Сгущенное молоко</t>
  </si>
  <si>
    <t>Голье шкур КРС</t>
  </si>
  <si>
    <t>Мясо свинина</t>
  </si>
  <si>
    <t>Кымыз</t>
  </si>
  <si>
    <t xml:space="preserve">Супбульон </t>
  </si>
  <si>
    <t>Малёк</t>
  </si>
  <si>
    <t>Бразилия</t>
  </si>
  <si>
    <t>Бенин</t>
  </si>
  <si>
    <t>Чехия</t>
  </si>
  <si>
    <t>Молочные продукты</t>
  </si>
  <si>
    <t>Курут</t>
  </si>
  <si>
    <t>Кишки МРС</t>
  </si>
  <si>
    <t>Шкур Вет Блю КРС</t>
  </si>
  <si>
    <t>Спил Голье шкур КРС</t>
  </si>
  <si>
    <t>Афганистан</t>
  </si>
  <si>
    <t>Индия</t>
  </si>
  <si>
    <t>Индонезия</t>
  </si>
  <si>
    <t>Собака</t>
  </si>
  <si>
    <t>Таиланд</t>
  </si>
  <si>
    <t>Мясо баранина</t>
  </si>
  <si>
    <t>Исландия</t>
  </si>
  <si>
    <t>Сперма быков</t>
  </si>
  <si>
    <t>доз.</t>
  </si>
  <si>
    <t>Канада</t>
  </si>
  <si>
    <t>ИТОГО</t>
  </si>
  <si>
    <t>Румыния</t>
  </si>
  <si>
    <t>Катар</t>
  </si>
  <si>
    <t>Бахрейн</t>
  </si>
  <si>
    <t>Малайзия</t>
  </si>
  <si>
    <t>Оман</t>
  </si>
  <si>
    <t>Ед. изм.</t>
  </si>
  <si>
    <t>в том числе:</t>
  </si>
  <si>
    <t>Заменитель молока</t>
  </si>
  <si>
    <t>Желатин</t>
  </si>
  <si>
    <t>Субпродукты МРС</t>
  </si>
  <si>
    <t>Кишечная оболочка</t>
  </si>
  <si>
    <t>Курдюк МРС</t>
  </si>
  <si>
    <t>Шкур КРС</t>
  </si>
  <si>
    <t>Словакия</t>
  </si>
  <si>
    <t>Эстония</t>
  </si>
  <si>
    <t>Латвия</t>
  </si>
  <si>
    <t>Азербайджан</t>
  </si>
  <si>
    <t>Албания</t>
  </si>
  <si>
    <t>Австрия</t>
  </si>
  <si>
    <t>Германия</t>
  </si>
  <si>
    <t>Туркменистан</t>
  </si>
  <si>
    <t>Кормовая добавка</t>
  </si>
  <si>
    <t>Шкура КРС</t>
  </si>
  <si>
    <t>Мясо говядина</t>
  </si>
  <si>
    <t>Чили</t>
  </si>
  <si>
    <t>Франция</t>
  </si>
  <si>
    <t>Устрицы</t>
  </si>
  <si>
    <t>Португалия</t>
  </si>
  <si>
    <t>Болгария</t>
  </si>
  <si>
    <t>Конские хвосты</t>
  </si>
  <si>
    <t>Венгрия</t>
  </si>
  <si>
    <t>Сыворотка</t>
  </si>
  <si>
    <t>Комбикорм</t>
  </si>
  <si>
    <t>Обезьяна</t>
  </si>
  <si>
    <t>Кролик</t>
  </si>
  <si>
    <t>Декоративная крыса</t>
  </si>
  <si>
    <t>Вакцина</t>
  </si>
  <si>
    <t>Кормовые дрожжи</t>
  </si>
  <si>
    <t>Пищевые добавки</t>
  </si>
  <si>
    <t>Творожные шарики</t>
  </si>
  <si>
    <t>Цирковые собаки</t>
  </si>
  <si>
    <t>Цирковые тигры</t>
  </si>
  <si>
    <t>Пчелопакеты</t>
  </si>
  <si>
    <t>Птица щегол</t>
  </si>
  <si>
    <t>Суточные утята</t>
  </si>
  <si>
    <t>Шкура верблюда</t>
  </si>
  <si>
    <t>Финляндия</t>
  </si>
  <si>
    <t>Монголия</t>
  </si>
  <si>
    <t>Иордания</t>
  </si>
  <si>
    <t>Великобритания</t>
  </si>
  <si>
    <t>Субпродукты конские</t>
  </si>
  <si>
    <t>Шерсть Верблюда</t>
  </si>
  <si>
    <t>Бельгия</t>
  </si>
  <si>
    <t>Рыба декоративная</t>
  </si>
  <si>
    <t>Шерсть верблюда</t>
  </si>
  <si>
    <t>Кисть хвоста</t>
  </si>
  <si>
    <t>Пчелиный воск</t>
  </si>
  <si>
    <t>Шкура МРС</t>
  </si>
  <si>
    <t>Нидерланды</t>
  </si>
  <si>
    <t>Мексика</t>
  </si>
  <si>
    <t>Живые птицы (попугай, голуби,куры, жаворонок)</t>
  </si>
  <si>
    <t>Кормовая соль</t>
  </si>
  <si>
    <t>Цирковые животные</t>
  </si>
  <si>
    <t>Суточные индюшата</t>
  </si>
  <si>
    <t>Икра</t>
  </si>
  <si>
    <t>Живые птицы</t>
  </si>
  <si>
    <t>Саудовская Аравия</t>
  </si>
  <si>
    <t>Говяжий жир</t>
  </si>
  <si>
    <t>Сливочное масло</t>
  </si>
  <si>
    <t>Аргентина</t>
  </si>
  <si>
    <t>Швейцария</t>
  </si>
  <si>
    <t>ЮАР</t>
  </si>
  <si>
    <t>Израиль</t>
  </si>
  <si>
    <t>Таджикистан</t>
  </si>
  <si>
    <t>Косово</t>
  </si>
  <si>
    <t>Яичный желток</t>
  </si>
  <si>
    <t>Пчелиная пыльца</t>
  </si>
  <si>
    <t>Черепаха</t>
  </si>
  <si>
    <t>Варан</t>
  </si>
  <si>
    <t>Грузия</t>
  </si>
  <si>
    <t>Австралия</t>
  </si>
  <si>
    <t>Руанда</t>
  </si>
  <si>
    <t>Экспорт в третьи страны за 9 месяцев 2025г.</t>
  </si>
  <si>
    <t>Импорт из третьих стран за 9 месяцев 2025г.</t>
  </si>
  <si>
    <t xml:space="preserve">Сводный отчет  ЕАЭС и третьих стран за 9 месяцев 2025 г. </t>
  </si>
  <si>
    <t>9 мес 2024г.</t>
  </si>
  <si>
    <t>9 мес 2025г.</t>
  </si>
  <si>
    <t>Сравнительный анализ 9 мес. 2024г. -  9 мес. 2025г.</t>
  </si>
  <si>
    <t xml:space="preserve">ЕАЭС и третьи страны за 9 месяцев 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</si>
</sst>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4" fillId="2" borderId="0" xfId="0" applyNumberFormat="1" applyFont="1" applyFill="1"/>
    <xf numFmtId="1" fontId="4" fillId="0" borderId="0" xfId="0" applyNumberFormat="1" applyFont="1"/>
    <xf numFmtId="1" fontId="3" fillId="0" borderId="0" xfId="0" applyNumberFormat="1" applyFont="1"/>
    <xf numFmtId="1" fontId="4" fillId="0" borderId="0" xfId="0" applyNumberFormat="1" applyFont="1" applyAlignment="1">
      <alignment wrapText="1"/>
    </xf>
    <xf numFmtId="0" fontId="2" fillId="0" borderId="1" xfId="0" applyFont="1" applyFill="1" applyBorder="1"/>
    <xf numFmtId="0" fontId="2" fillId="0" borderId="1" xfId="0" applyFont="1" applyBorder="1"/>
    <xf numFmtId="1" fontId="7" fillId="0" borderId="0" xfId="0" applyNumberFormat="1" applyFont="1" applyFill="1"/>
    <xf numFmtId="1" fontId="6" fillId="0" borderId="1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wrapText="1"/>
    </xf>
    <xf numFmtId="1" fontId="7" fillId="0" borderId="1" xfId="0" applyNumberFormat="1" applyFont="1" applyFill="1" applyBorder="1"/>
    <xf numFmtId="0" fontId="2" fillId="0" borderId="0" xfId="0" applyFont="1" applyFill="1"/>
    <xf numFmtId="0" fontId="9" fillId="0" borderId="1" xfId="0" applyFont="1" applyFill="1" applyBorder="1"/>
    <xf numFmtId="1" fontId="4" fillId="0" borderId="1" xfId="0" applyNumberFormat="1" applyFont="1" applyBorder="1" applyAlignment="1">
      <alignment wrapText="1"/>
    </xf>
    <xf numFmtId="1" fontId="4" fillId="0" borderId="1" xfId="0" applyNumberFormat="1" applyFont="1" applyBorder="1"/>
    <xf numFmtId="0" fontId="1" fillId="0" borderId="1" xfId="0" applyFont="1" applyFill="1" applyBorder="1" applyAlignment="1">
      <alignment horizontal="right" wrapText="1"/>
    </xf>
    <xf numFmtId="1" fontId="1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 shrinkToFit="1"/>
    </xf>
    <xf numFmtId="3" fontId="6" fillId="0" borderId="1" xfId="0" applyNumberFormat="1" applyFont="1" applyFill="1" applyBorder="1" applyAlignment="1">
      <alignment horizontal="right" shrinkToFit="1"/>
    </xf>
    <xf numFmtId="164" fontId="7" fillId="0" borderId="1" xfId="0" applyNumberFormat="1" applyFont="1" applyFill="1" applyBorder="1" applyAlignment="1">
      <alignment horizontal="right" shrinkToFit="1"/>
    </xf>
    <xf numFmtId="164" fontId="6" fillId="0" borderId="1" xfId="0" applyNumberFormat="1" applyFont="1" applyFill="1" applyBorder="1" applyAlignment="1">
      <alignment horizontal="right" shrinkToFit="1"/>
    </xf>
    <xf numFmtId="164" fontId="4" fillId="2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6" fillId="0" borderId="1" xfId="0" applyNumberFormat="1" applyFont="1" applyFill="1" applyBorder="1" applyAlignment="1">
      <alignment horizontal="right" textRotation="90" wrapText="1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4" fontId="6" fillId="0" borderId="1" xfId="0" applyNumberFormat="1" applyFont="1" applyFill="1" applyBorder="1" applyAlignment="1">
      <alignment horizontal="right" shrinkToFit="1"/>
    </xf>
    <xf numFmtId="3" fontId="8" fillId="0" borderId="1" xfId="0" applyNumberFormat="1" applyFont="1" applyBorder="1"/>
    <xf numFmtId="3" fontId="10" fillId="0" borderId="1" xfId="0" applyNumberFormat="1" applyFont="1" applyFill="1" applyBorder="1"/>
    <xf numFmtId="164" fontId="8" fillId="0" borderId="1" xfId="0" applyNumberFormat="1" applyFont="1" applyBorder="1"/>
    <xf numFmtId="0" fontId="2" fillId="0" borderId="1" xfId="0" applyFont="1" applyFill="1" applyBorder="1" applyAlignment="1">
      <alignment horizontal="right"/>
    </xf>
    <xf numFmtId="164" fontId="2" fillId="0" borderId="0" xfId="0" applyNumberFormat="1" applyFont="1"/>
    <xf numFmtId="165" fontId="6" fillId="0" borderId="1" xfId="0" applyNumberFormat="1" applyFont="1" applyFill="1" applyBorder="1" applyAlignment="1">
      <alignment horizontal="right" shrinkToFit="1"/>
    </xf>
    <xf numFmtId="3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 shrinkToFit="1"/>
    </xf>
    <xf numFmtId="3" fontId="7" fillId="0" borderId="1" xfId="0" applyNumberFormat="1" applyFont="1" applyFill="1" applyBorder="1"/>
    <xf numFmtId="3" fontId="4" fillId="0" borderId="1" xfId="0" applyNumberFormat="1" applyFont="1" applyBorder="1"/>
    <xf numFmtId="164" fontId="10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4" fillId="2" borderId="1" xfId="0" applyNumberFormat="1" applyFont="1" applyFill="1" applyBorder="1"/>
    <xf numFmtId="164" fontId="8" fillId="0" borderId="1" xfId="0" applyNumberFormat="1" applyFont="1" applyFill="1" applyBorder="1" applyAlignment="1"/>
    <xf numFmtId="1" fontId="6" fillId="0" borderId="1" xfId="0" applyNumberFormat="1" applyFont="1" applyFill="1" applyBorder="1" applyAlignment="1">
      <alignment horizontal="right" textRotation="90" shrinkToFit="1"/>
    </xf>
    <xf numFmtId="16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right" textRotation="90" shrinkToFit="1"/>
    </xf>
    <xf numFmtId="0" fontId="10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/>
    <xf numFmtId="3" fontId="2" fillId="0" borderId="1" xfId="0" applyNumberFormat="1" applyFont="1" applyFill="1" applyBorder="1"/>
    <xf numFmtId="0" fontId="2" fillId="0" borderId="0" xfId="0" applyNumberFormat="1" applyFont="1"/>
    <xf numFmtId="164" fontId="0" fillId="0" borderId="0" xfId="0" applyNumberFormat="1"/>
    <xf numFmtId="164" fontId="11" fillId="0" borderId="1" xfId="0" applyNumberFormat="1" applyFont="1" applyBorder="1"/>
    <xf numFmtId="3" fontId="11" fillId="0" borderId="1" xfId="0" applyNumberFormat="1" applyFont="1" applyBorder="1"/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right" textRotation="90" shrinkToFit="1"/>
    </xf>
    <xf numFmtId="0" fontId="6" fillId="0" borderId="1" xfId="0" applyNumberFormat="1" applyFont="1" applyFill="1" applyBorder="1" applyAlignment="1">
      <alignment horizontal="right" textRotation="90" shrinkToFi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zoomScaleNormal="100" workbookViewId="0">
      <selection activeCell="H109" sqref="H108:H109"/>
    </sheetView>
  </sheetViews>
  <sheetFormatPr defaultColWidth="9.140625" defaultRowHeight="15.75" x14ac:dyDescent="0.25"/>
  <cols>
    <col min="1" max="1" width="6.7109375" style="1" customWidth="1"/>
    <col min="2" max="2" width="4.28515625" style="1" customWidth="1"/>
    <col min="3" max="3" width="49.5703125" style="1" customWidth="1"/>
    <col min="4" max="4" width="5.7109375" style="1" customWidth="1"/>
    <col min="5" max="7" width="10.140625" style="21" bestFit="1" customWidth="1"/>
    <col min="8" max="8" width="11.28515625" style="21" bestFit="1" customWidth="1"/>
    <col min="9" max="9" width="7.85546875" style="21" bestFit="1" customWidth="1"/>
    <col min="10" max="10" width="7.42578125" style="21" bestFit="1" customWidth="1"/>
    <col min="11" max="11" width="5.5703125" style="21" bestFit="1" customWidth="1"/>
    <col min="12" max="12" width="7.42578125" style="21" bestFit="1" customWidth="1"/>
    <col min="13" max="13" width="11.28515625" style="21" bestFit="1" customWidth="1"/>
    <col min="14" max="15" width="9" style="21" bestFit="1" customWidth="1"/>
    <col min="16" max="16384" width="9.140625" style="1"/>
  </cols>
  <sheetData>
    <row r="1" spans="2:15" x14ac:dyDescent="0.25">
      <c r="B1" s="76" t="s">
        <v>207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2:15" s="2" customFormat="1" ht="29.25" customHeight="1" x14ac:dyDescent="0.25">
      <c r="B2" s="79" t="s">
        <v>12</v>
      </c>
      <c r="C2" s="80" t="s">
        <v>0</v>
      </c>
      <c r="D2" s="81" t="s">
        <v>17</v>
      </c>
      <c r="E2" s="82" t="s">
        <v>1</v>
      </c>
      <c r="F2" s="82"/>
      <c r="G2" s="82" t="s">
        <v>2</v>
      </c>
      <c r="H2" s="82"/>
      <c r="I2" s="82" t="s">
        <v>3</v>
      </c>
      <c r="J2" s="82"/>
      <c r="K2" s="82" t="s">
        <v>4</v>
      </c>
      <c r="L2" s="82"/>
      <c r="M2" s="82" t="s">
        <v>5</v>
      </c>
      <c r="N2" s="82"/>
      <c r="O2" s="17" t="s">
        <v>11</v>
      </c>
    </row>
    <row r="3" spans="2:15" ht="15.75" customHeight="1" x14ac:dyDescent="0.25">
      <c r="B3" s="79"/>
      <c r="C3" s="80"/>
      <c r="D3" s="81"/>
      <c r="E3" s="18" t="s">
        <v>6</v>
      </c>
      <c r="F3" s="18" t="s">
        <v>7</v>
      </c>
      <c r="G3" s="18" t="s">
        <v>6</v>
      </c>
      <c r="H3" s="18" t="s">
        <v>7</v>
      </c>
      <c r="I3" s="18" t="s">
        <v>6</v>
      </c>
      <c r="J3" s="18" t="s">
        <v>7</v>
      </c>
      <c r="K3" s="18" t="s">
        <v>6</v>
      </c>
      <c r="L3" s="18" t="s">
        <v>7</v>
      </c>
      <c r="M3" s="18" t="s">
        <v>6</v>
      </c>
      <c r="N3" s="18" t="s">
        <v>7</v>
      </c>
      <c r="O3" s="19"/>
    </row>
    <row r="4" spans="2:15" x14ac:dyDescent="0.25">
      <c r="B4" s="7">
        <v>1</v>
      </c>
      <c r="C4" s="7" t="s">
        <v>13</v>
      </c>
      <c r="D4" s="7" t="s">
        <v>8</v>
      </c>
      <c r="E4" s="22">
        <f>7378+400+100+9919+3943+2903+1842+833+1441+3442+3843</f>
        <v>36044</v>
      </c>
      <c r="F4" s="22"/>
      <c r="G4" s="22">
        <f>99+1348+616+1315+562</f>
        <v>3940</v>
      </c>
      <c r="H4" s="22"/>
      <c r="I4" s="22"/>
      <c r="J4" s="22"/>
      <c r="K4" s="22"/>
      <c r="L4" s="22"/>
      <c r="M4" s="22">
        <v>63</v>
      </c>
      <c r="N4" s="22">
        <f>52+235+4084+5495+10765+9862+9420+3837</f>
        <v>43750</v>
      </c>
      <c r="O4" s="23"/>
    </row>
    <row r="5" spans="2:15" x14ac:dyDescent="0.25">
      <c r="B5" s="7">
        <v>2</v>
      </c>
      <c r="C5" s="7" t="s">
        <v>14</v>
      </c>
      <c r="D5" s="7" t="s">
        <v>8</v>
      </c>
      <c r="E5" s="22">
        <f>541+22</f>
        <v>563</v>
      </c>
      <c r="F5" s="22"/>
      <c r="G5" s="22">
        <f>198+300+240</f>
        <v>738</v>
      </c>
      <c r="H5" s="22"/>
      <c r="I5" s="22"/>
      <c r="J5" s="22"/>
      <c r="K5" s="22"/>
      <c r="L5" s="22"/>
      <c r="M5" s="22"/>
      <c r="N5" s="22">
        <f>500+2054+7364+6062+15801+17165</f>
        <v>48946</v>
      </c>
      <c r="O5" s="23"/>
    </row>
    <row r="6" spans="2:15" x14ac:dyDescent="0.25">
      <c r="B6" s="7">
        <v>3</v>
      </c>
      <c r="C6" s="7" t="s">
        <v>86</v>
      </c>
      <c r="D6" s="7" t="s">
        <v>8</v>
      </c>
      <c r="E6" s="22">
        <f>1339+78+11+963+1113+714+935+853+727+1056+170</f>
        <v>7959</v>
      </c>
      <c r="F6" s="22">
        <f>1+31+8+23+52+66+7+12+32</f>
        <v>232</v>
      </c>
      <c r="G6" s="22">
        <f>4+47+12+53+12+24+19+68</f>
        <v>239</v>
      </c>
      <c r="H6" s="22">
        <f>7+1+14+20+66+35+24+30+34</f>
        <v>231</v>
      </c>
      <c r="I6" s="22">
        <f>6+6</f>
        <v>12</v>
      </c>
      <c r="J6" s="22"/>
      <c r="K6" s="22"/>
      <c r="L6" s="22"/>
      <c r="M6" s="22">
        <f>4+5+38+7+92+161+194+45+226+60+262+85</f>
        <v>1179</v>
      </c>
      <c r="N6" s="22">
        <f>5+17+804+348+22+85+79</f>
        <v>1360</v>
      </c>
      <c r="O6" s="23"/>
    </row>
    <row r="7" spans="2:15" x14ac:dyDescent="0.25">
      <c r="B7" s="7">
        <v>4</v>
      </c>
      <c r="C7" s="7" t="s">
        <v>77</v>
      </c>
      <c r="D7" s="7" t="s">
        <v>8</v>
      </c>
      <c r="E7" s="22"/>
      <c r="F7" s="22"/>
      <c r="G7" s="22">
        <f>414+133+203+503+340+170+169+214+161</f>
        <v>2307</v>
      </c>
      <c r="H7" s="22"/>
      <c r="I7" s="22"/>
      <c r="J7" s="22"/>
      <c r="K7" s="22"/>
      <c r="L7" s="22"/>
      <c r="M7" s="22"/>
      <c r="N7" s="20"/>
      <c r="O7" s="20"/>
    </row>
    <row r="8" spans="2:15" ht="18.600000000000001" customHeight="1" x14ac:dyDescent="0.25">
      <c r="B8" s="7">
        <v>5</v>
      </c>
      <c r="C8" s="7" t="s">
        <v>22</v>
      </c>
      <c r="D8" s="7" t="s">
        <v>10</v>
      </c>
      <c r="E8" s="26">
        <f>1918.61+84.774+56.471+2723.4+1714.926+1861.11759+1244.2+1751.89+1450.424+1679.553+1782.775</f>
        <v>16268.140590000001</v>
      </c>
      <c r="F8" s="26">
        <f>20+121+141+128+204+339+608+733+162.052</f>
        <v>2456.0520000000001</v>
      </c>
      <c r="G8" s="26">
        <f>1348.148+40.16+1260+1379.521+1186.71062+1535.7+1516.138+1040.749+1067.654+503.435</f>
        <v>10878.215619999999</v>
      </c>
      <c r="H8" s="27">
        <f>260.5+0.4+340.6+430.048+257.591+362+704+478.004+196+154</f>
        <v>3183.143</v>
      </c>
      <c r="I8" s="27">
        <f>519.232+117.639+681.2+918.64+525.7+615.6+317.268+319.064+493.497+404.433</f>
        <v>4912.2730000000001</v>
      </c>
      <c r="J8" s="27">
        <f>63+42+63+42.1+63</f>
        <v>273.10000000000002</v>
      </c>
      <c r="K8" s="27"/>
      <c r="L8" s="27"/>
      <c r="M8" s="27">
        <f>297.319+72+2616+227.7+274.974+3347.043+5332.315+5180.016+5679.577+7328.927+6240.053+5958.602+6277.045</f>
        <v>48831.570999999996</v>
      </c>
      <c r="N8" s="27">
        <f>20+20.004+20.004+40</f>
        <v>100.00800000000001</v>
      </c>
      <c r="O8" s="28"/>
    </row>
    <row r="9" spans="2:15" ht="18.600000000000001" customHeight="1" x14ac:dyDescent="0.25">
      <c r="B9" s="7">
        <v>6</v>
      </c>
      <c r="C9" s="7" t="s">
        <v>142</v>
      </c>
      <c r="D9" s="7" t="s">
        <v>10</v>
      </c>
      <c r="E9" s="26">
        <f>0.42+0.053</f>
        <v>0.47299999999999998</v>
      </c>
      <c r="F9" s="26"/>
      <c r="G9" s="26">
        <f>19.748+6.255+95.989+141.5+92.858+85.471+117.6+92.025+35.088+12.702</f>
        <v>699.23599999999999</v>
      </c>
      <c r="H9" s="27">
        <f>19.98+40</f>
        <v>59.980000000000004</v>
      </c>
      <c r="I9" s="27">
        <f>40+20+20+20+17.692</f>
        <v>117.69200000000001</v>
      </c>
      <c r="J9" s="27">
        <v>21</v>
      </c>
      <c r="K9" s="27"/>
      <c r="L9" s="27"/>
      <c r="M9" s="27">
        <f>106+21+22+84+126+44+105.4+215.988</f>
        <v>724.38799999999992</v>
      </c>
      <c r="N9" s="27">
        <f>29.85+27.6</f>
        <v>57.45</v>
      </c>
      <c r="O9" s="28"/>
    </row>
    <row r="10" spans="2:15" ht="18.600000000000001" customHeight="1" x14ac:dyDescent="0.25">
      <c r="B10" s="7">
        <v>7</v>
      </c>
      <c r="C10" s="8" t="s">
        <v>96</v>
      </c>
      <c r="D10" s="8" t="s">
        <v>10</v>
      </c>
      <c r="E10" s="29">
        <f>126.815+88.4+34.829+153.851+94.1+50.542+36.348+82.632+175.828</f>
        <v>843.34500000000003</v>
      </c>
      <c r="F10" s="29"/>
      <c r="G10" s="29">
        <v>18.204000000000001</v>
      </c>
      <c r="H10" s="29"/>
      <c r="I10" s="29"/>
      <c r="J10" s="29"/>
      <c r="K10" s="29"/>
      <c r="L10" s="29"/>
      <c r="M10" s="29"/>
      <c r="N10" s="29"/>
      <c r="O10" s="29"/>
    </row>
    <row r="11" spans="2:15" ht="18.600000000000001" customHeight="1" x14ac:dyDescent="0.25">
      <c r="B11" s="7">
        <v>8</v>
      </c>
      <c r="C11" s="8" t="s">
        <v>113</v>
      </c>
      <c r="D11" s="8" t="s">
        <v>10</v>
      </c>
      <c r="E11" s="29"/>
      <c r="F11" s="29"/>
      <c r="G11" s="29">
        <f>43.056+64.2+50.799+46.534+28.2+31.32+63.253+69.816+60.957</f>
        <v>458.13499999999999</v>
      </c>
      <c r="H11" s="29"/>
      <c r="I11" s="29"/>
      <c r="J11" s="29"/>
      <c r="K11" s="29"/>
      <c r="L11" s="29"/>
      <c r="M11" s="29"/>
      <c r="N11" s="29"/>
      <c r="O11" s="29"/>
    </row>
    <row r="12" spans="2:15" ht="18.600000000000001" customHeight="1" x14ac:dyDescent="0.25">
      <c r="B12" s="7">
        <v>9</v>
      </c>
      <c r="C12" s="7" t="s">
        <v>28</v>
      </c>
      <c r="D12" s="7" t="s">
        <v>10</v>
      </c>
      <c r="E12" s="26">
        <f>6.516+71.188+70.3+182.134+80.905+128.083+217.3+76.943+253.699+102.484+83.772</f>
        <v>1273.3239999999998</v>
      </c>
      <c r="F12" s="26">
        <f>23.5+10.362</f>
        <v>33.862000000000002</v>
      </c>
      <c r="G12" s="26">
        <f>9.157+2.061+0.683+0.443</f>
        <v>12.343999999999999</v>
      </c>
      <c r="H12" s="27">
        <f>5.449+0.668+3.673+6.6+4.88+0.136</f>
        <v>21.405999999999999</v>
      </c>
      <c r="I12" s="27">
        <f>4.546+8.136+119.4+136.27+71.013+55.63+123.7+30.399+131.489+28.812+48.216</f>
        <v>757.6110000000001</v>
      </c>
      <c r="J12" s="27"/>
      <c r="K12" s="27"/>
      <c r="L12" s="27"/>
      <c r="M12" s="27">
        <f>4.113+2</f>
        <v>6.1130000000000004</v>
      </c>
      <c r="N12" s="27">
        <v>1.4610000000000001</v>
      </c>
      <c r="O12" s="28"/>
    </row>
    <row r="13" spans="2:15" ht="18.600000000000001" customHeight="1" x14ac:dyDescent="0.25">
      <c r="B13" s="7">
        <v>10</v>
      </c>
      <c r="C13" s="8" t="s">
        <v>90</v>
      </c>
      <c r="D13" s="8" t="s">
        <v>10</v>
      </c>
      <c r="E13" s="29">
        <f>3.79+37.3+6.438+8.139+12.5+2.172+41.742+18.632</f>
        <v>130.71299999999999</v>
      </c>
      <c r="F13" s="29"/>
      <c r="G13" s="29">
        <f>57.28+60.72+61.2+58.504</f>
        <v>237.70399999999998</v>
      </c>
      <c r="H13" s="29"/>
      <c r="I13" s="29">
        <f>51.1+34.07+51.105+17.036+6.216</f>
        <v>159.52700000000002</v>
      </c>
      <c r="J13" s="29"/>
      <c r="K13" s="29"/>
      <c r="L13" s="29"/>
      <c r="M13" s="29"/>
      <c r="N13" s="29"/>
      <c r="O13" s="29"/>
    </row>
    <row r="14" spans="2:15" ht="18.600000000000001" customHeight="1" x14ac:dyDescent="0.25">
      <c r="B14" s="7">
        <v>11</v>
      </c>
      <c r="C14" s="7" t="s">
        <v>27</v>
      </c>
      <c r="D14" s="7" t="s">
        <v>10</v>
      </c>
      <c r="E14" s="26">
        <f>647.986+9.344+429.2+413.58+608.648+686.6+482.249+411.616+489.158+538.109</f>
        <v>4716.4900000000007</v>
      </c>
      <c r="F14" s="26">
        <f>80+20+0.26</f>
        <v>100.26</v>
      </c>
      <c r="G14" s="26">
        <f>112.158+104+116.702+149.425+185.5+146.174+135.664+170.443+136.952</f>
        <v>1257.018</v>
      </c>
      <c r="H14" s="27">
        <f>1838.352+51.661+2263.5+2609.663+2869.565+1.5+2316.6+2422.065+2389.491+2287.17+2785.245</f>
        <v>21834.812000000002</v>
      </c>
      <c r="I14" s="27">
        <f>48.398+12.612+65+96.9+177.64+171.2+156.141+169.66+111.66+257.685</f>
        <v>1266.896</v>
      </c>
      <c r="J14" s="27"/>
      <c r="K14" s="27"/>
      <c r="L14" s="27"/>
      <c r="M14" s="27">
        <f>87.0592+44.7719+60.17+15.915+50.046+1.003</f>
        <v>258.96510000000001</v>
      </c>
      <c r="N14" s="27">
        <f>6.765+63.535+85.244+116.089+124.89+99.42061+173.014+154.73+110.949+90.157</f>
        <v>1024.7936099999999</v>
      </c>
      <c r="O14" s="28"/>
    </row>
    <row r="15" spans="2:15" ht="18.600000000000001" customHeight="1" x14ac:dyDescent="0.25">
      <c r="B15" s="7">
        <v>12</v>
      </c>
      <c r="C15" s="42" t="s">
        <v>26</v>
      </c>
      <c r="D15" s="7" t="s">
        <v>10</v>
      </c>
      <c r="E15" s="26">
        <f>47.93+1.535+67.2+82.686+71.473+67.4+69.92+91.44+98.139+89.42</f>
        <v>687.14300000000003</v>
      </c>
      <c r="F15" s="26">
        <f>20+90+40+60+60+220+180+185+60</f>
        <v>915</v>
      </c>
      <c r="G15" s="26">
        <f>2.196+0.6+24.3+4.488+1.782+13+6.496+3.999+10.422+4.231</f>
        <v>71.513999999999996</v>
      </c>
      <c r="H15" s="26">
        <f>53.153+0.4+138.2+121.568+96.94+55.7+106.683+93.143+143.209+94.958</f>
        <v>903.95400000000006</v>
      </c>
      <c r="I15" s="26">
        <f>40.661+16.823+79.2+127.04+58.751+87.891+84.6+59.157+65.168+101.094+88.639</f>
        <v>809.024</v>
      </c>
      <c r="J15" s="26"/>
      <c r="K15" s="26"/>
      <c r="L15" s="26"/>
      <c r="M15" s="26">
        <f>0.54764+18.454+29.403+27.457</f>
        <v>75.861639999999994</v>
      </c>
      <c r="N15" s="27">
        <f>42+20+41</f>
        <v>103</v>
      </c>
      <c r="O15" s="27"/>
    </row>
    <row r="16" spans="2:15" ht="18.600000000000001" customHeight="1" x14ac:dyDescent="0.25">
      <c r="B16" s="7">
        <v>13</v>
      </c>
      <c r="C16" s="42" t="s">
        <v>34</v>
      </c>
      <c r="D16" s="7" t="s">
        <v>10</v>
      </c>
      <c r="E16" s="26"/>
      <c r="F16" s="26"/>
      <c r="G16" s="26"/>
      <c r="H16" s="26"/>
      <c r="I16" s="26"/>
      <c r="J16" s="26"/>
      <c r="K16" s="26"/>
      <c r="L16" s="26"/>
      <c r="M16" s="26"/>
      <c r="N16" s="27">
        <f>0.24+0.549+2.264+15.12+8+20.037</f>
        <v>46.209999999999994</v>
      </c>
      <c r="O16" s="27"/>
    </row>
    <row r="17" spans="2:15" ht="18.600000000000001" customHeight="1" x14ac:dyDescent="0.25">
      <c r="B17" s="7">
        <v>14</v>
      </c>
      <c r="C17" s="42" t="s">
        <v>104</v>
      </c>
      <c r="D17" s="7" t="s">
        <v>10</v>
      </c>
      <c r="E17" s="26"/>
      <c r="F17" s="26"/>
      <c r="G17" s="26"/>
      <c r="H17" s="26">
        <f>0.43+0.08+0.26+0.475</f>
        <v>1.2450000000000001</v>
      </c>
      <c r="I17" s="26"/>
      <c r="J17" s="26"/>
      <c r="K17" s="26"/>
      <c r="L17" s="26"/>
      <c r="M17" s="26"/>
      <c r="N17" s="27">
        <v>0.53200000000000003</v>
      </c>
      <c r="O17" s="27"/>
    </row>
    <row r="18" spans="2:15" ht="18.600000000000001" customHeight="1" x14ac:dyDescent="0.25">
      <c r="B18" s="7">
        <v>15</v>
      </c>
      <c r="C18" s="42" t="s">
        <v>43</v>
      </c>
      <c r="D18" s="7" t="s">
        <v>10</v>
      </c>
      <c r="E18" s="26">
        <f>3.066</f>
        <v>3.0659999999999998</v>
      </c>
      <c r="F18" s="26">
        <f>80+360+220+160+20+40+340+160</f>
        <v>1380</v>
      </c>
      <c r="G18" s="26">
        <f>2.502+16.722+1.4+7.603+12+87.987</f>
        <v>128.214</v>
      </c>
      <c r="H18" s="26">
        <f>16.291+22.4+2.88+1.872+21.3+104.082+322.568+2.002</f>
        <v>493.39499999999998</v>
      </c>
      <c r="I18" s="26">
        <f>10+10</f>
        <v>20</v>
      </c>
      <c r="J18" s="26"/>
      <c r="K18" s="26"/>
      <c r="L18" s="26"/>
      <c r="M18" s="26">
        <v>0.2</v>
      </c>
      <c r="N18" s="27">
        <v>8</v>
      </c>
      <c r="O18" s="27"/>
    </row>
    <row r="19" spans="2:15" ht="18.600000000000001" customHeight="1" x14ac:dyDescent="0.25">
      <c r="B19" s="7">
        <v>16</v>
      </c>
      <c r="C19" s="42" t="s">
        <v>65</v>
      </c>
      <c r="D19" s="7" t="s">
        <v>10</v>
      </c>
      <c r="E19" s="26">
        <f>11.2+8.493+14.045+33.1+14.646+13.997+24.403+16.772</f>
        <v>136.65599999999998</v>
      </c>
      <c r="F19" s="26">
        <v>5.8470000000000004</v>
      </c>
      <c r="G19" s="26">
        <f>27.91+116.2+147.622+463.768+494.9+472.818+460.037+409.297+273.295</f>
        <v>2865.8470000000002</v>
      </c>
      <c r="H19" s="26">
        <f>18.872+48.2+414.818+517.487+755.2+740.292+728.707+460.103+139.248</f>
        <v>3822.9270000000001</v>
      </c>
      <c r="I19" s="26">
        <f>2.8+2.417+4.3+4.704+10.17+7.457</f>
        <v>31.847999999999999</v>
      </c>
      <c r="J19" s="26"/>
      <c r="K19" s="26"/>
      <c r="L19" s="26"/>
      <c r="M19" s="26">
        <f>70.852+27.85+33.888+29.396+8.4</f>
        <v>170.386</v>
      </c>
      <c r="N19" s="27"/>
      <c r="O19" s="27"/>
    </row>
    <row r="20" spans="2:15" ht="18.600000000000001" customHeight="1" x14ac:dyDescent="0.25">
      <c r="B20" s="7">
        <v>17</v>
      </c>
      <c r="C20" s="42" t="s">
        <v>62</v>
      </c>
      <c r="D20" s="7" t="s">
        <v>10</v>
      </c>
      <c r="E20" s="26">
        <f>31.185+185.7+126.49+77.652+114.3+75.994+97.172+184.799+145.364</f>
        <v>1038.6559999999999</v>
      </c>
      <c r="F20" s="26"/>
      <c r="G20" s="26">
        <f>17.3+24.851</f>
        <v>42.150999999999996</v>
      </c>
      <c r="H20" s="26"/>
      <c r="I20" s="26"/>
      <c r="J20" s="26"/>
      <c r="K20" s="26"/>
      <c r="L20" s="26"/>
      <c r="M20" s="26">
        <v>5.4279999999999999</v>
      </c>
      <c r="N20" s="27"/>
      <c r="O20" s="27"/>
    </row>
    <row r="21" spans="2:15" ht="18.600000000000001" customHeight="1" x14ac:dyDescent="0.25">
      <c r="B21" s="7">
        <v>18</v>
      </c>
      <c r="C21" s="42" t="s">
        <v>76</v>
      </c>
      <c r="D21" s="7" t="s">
        <v>10</v>
      </c>
      <c r="E21" s="26">
        <f>62.256+2+18.262+12.311+27.2+27.038+0.726+77.165+111.051</f>
        <v>338.00900000000001</v>
      </c>
      <c r="F21" s="26"/>
      <c r="G21" s="26"/>
      <c r="H21" s="26">
        <v>0.4</v>
      </c>
      <c r="I21" s="26"/>
      <c r="J21" s="26"/>
      <c r="K21" s="26"/>
      <c r="L21" s="26"/>
      <c r="M21" s="26"/>
      <c r="N21" s="27"/>
      <c r="O21" s="27"/>
    </row>
    <row r="22" spans="2:15" ht="18.600000000000001" customHeight="1" x14ac:dyDescent="0.25">
      <c r="B22" s="7">
        <v>19</v>
      </c>
      <c r="C22" s="43" t="s">
        <v>93</v>
      </c>
      <c r="D22" s="8" t="s">
        <v>10</v>
      </c>
      <c r="E22" s="29">
        <f>3+59.5+26.3+27.7+20+40+31.099+47.3+19.5</f>
        <v>274.399</v>
      </c>
      <c r="F22" s="29"/>
      <c r="G22" s="29">
        <f>55+60+140</f>
        <v>255</v>
      </c>
      <c r="H22" s="29">
        <f>100+45+20+30+0.08</f>
        <v>195.08</v>
      </c>
      <c r="I22" s="29">
        <f>20+20+100.8+80.9+520+579.95+320</f>
        <v>1641.65</v>
      </c>
      <c r="J22" s="29"/>
      <c r="K22" s="29"/>
      <c r="L22" s="29"/>
      <c r="M22" s="29"/>
      <c r="N22" s="29">
        <f>44+66+22+66+44+22</f>
        <v>264</v>
      </c>
      <c r="O22" s="29"/>
    </row>
    <row r="23" spans="2:15" ht="18.600000000000001" customHeight="1" x14ac:dyDescent="0.25">
      <c r="B23" s="7">
        <v>20</v>
      </c>
      <c r="C23" s="43" t="s">
        <v>94</v>
      </c>
      <c r="D23" s="8" t="s">
        <v>10</v>
      </c>
      <c r="E23" s="29">
        <f>17.99+19.102</f>
        <v>37.091999999999999</v>
      </c>
      <c r="F23" s="29"/>
      <c r="G23" s="29"/>
      <c r="H23" s="29"/>
      <c r="I23" s="29"/>
      <c r="J23" s="29"/>
      <c r="K23" s="29"/>
      <c r="L23" s="29"/>
      <c r="M23" s="29">
        <f>12.8279+6.26</f>
        <v>19.087899999999998</v>
      </c>
      <c r="N23" s="29"/>
      <c r="O23" s="29"/>
    </row>
    <row r="24" spans="2:15" ht="18.600000000000001" customHeight="1" x14ac:dyDescent="0.25">
      <c r="B24" s="7">
        <v>21</v>
      </c>
      <c r="C24" s="43" t="s">
        <v>126</v>
      </c>
      <c r="D24" s="8" t="s">
        <v>10</v>
      </c>
      <c r="E24" s="29">
        <f>16+11.3+45.5+20+41.1+68.92+21+4.225+40</f>
        <v>268.04499999999996</v>
      </c>
      <c r="F24" s="29"/>
      <c r="G24" s="29"/>
      <c r="H24" s="29"/>
      <c r="I24" s="29">
        <v>0.6</v>
      </c>
      <c r="J24" s="29"/>
      <c r="K24" s="29"/>
      <c r="L24" s="29"/>
      <c r="M24" s="29">
        <v>26</v>
      </c>
      <c r="N24" s="29"/>
      <c r="O24" s="29"/>
    </row>
    <row r="25" spans="2:15" ht="18.600000000000001" customHeight="1" x14ac:dyDescent="0.25">
      <c r="B25" s="7">
        <v>22</v>
      </c>
      <c r="C25" s="43" t="s">
        <v>150</v>
      </c>
      <c r="D25" s="8" t="s">
        <v>10</v>
      </c>
      <c r="E25" s="29">
        <f>38.738+20+0.5+80</f>
        <v>139.238</v>
      </c>
      <c r="F25" s="29"/>
      <c r="G25" s="29"/>
      <c r="H25" s="29"/>
      <c r="I25" s="29">
        <f>9.936+20</f>
        <v>29.936</v>
      </c>
      <c r="J25" s="29"/>
      <c r="K25" s="29"/>
      <c r="L25" s="29"/>
      <c r="M25" s="29">
        <f>24+12+24</f>
        <v>60</v>
      </c>
      <c r="N25" s="29">
        <f>22+44</f>
        <v>66</v>
      </c>
      <c r="O25" s="29"/>
    </row>
    <row r="26" spans="2:15" ht="18.600000000000001" customHeight="1" x14ac:dyDescent="0.25">
      <c r="B26" s="7">
        <v>23</v>
      </c>
      <c r="C26" s="7" t="s">
        <v>69</v>
      </c>
      <c r="D26" s="7" t="s">
        <v>10</v>
      </c>
      <c r="E26" s="26">
        <f>116.18+183.2+147.517+255.64+251.3+216.288+289.774+160.3+134.833</f>
        <v>1755.0319999999999</v>
      </c>
      <c r="F26" s="26"/>
      <c r="G26" s="26">
        <f>6.295+18.355+17.218</f>
        <v>41.867999999999995</v>
      </c>
      <c r="H26" s="27">
        <f>0.031+0.092</f>
        <v>0.123</v>
      </c>
      <c r="I26" s="27">
        <v>1.9950000000000001</v>
      </c>
      <c r="J26" s="27"/>
      <c r="K26" s="27"/>
      <c r="L26" s="27"/>
      <c r="M26" s="27"/>
      <c r="N26" s="27"/>
      <c r="O26" s="28"/>
    </row>
    <row r="27" spans="2:15" ht="18.600000000000001" customHeight="1" x14ac:dyDescent="0.25">
      <c r="B27" s="7">
        <v>24</v>
      </c>
      <c r="C27" s="8" t="s">
        <v>158</v>
      </c>
      <c r="D27" s="8" t="s">
        <v>10</v>
      </c>
      <c r="E27" s="29"/>
      <c r="F27" s="29"/>
      <c r="G27" s="29"/>
      <c r="H27" s="29">
        <v>0.68700000000000006</v>
      </c>
      <c r="I27" s="29"/>
      <c r="J27" s="29"/>
      <c r="K27" s="29"/>
      <c r="L27" s="29"/>
      <c r="M27" s="29">
        <f>5+9.66</f>
        <v>14.66</v>
      </c>
      <c r="N27" s="29"/>
      <c r="O27" s="28"/>
    </row>
    <row r="28" spans="2:15" ht="18.600000000000001" customHeight="1" x14ac:dyDescent="0.25">
      <c r="B28" s="7">
        <v>25</v>
      </c>
      <c r="C28" s="7" t="s">
        <v>61</v>
      </c>
      <c r="D28" s="7" t="s">
        <v>10</v>
      </c>
      <c r="E28" s="26">
        <f>58.468+61.1+20.97+60.137+60+80.996+51.207+47.498+119.88</f>
        <v>560.25599999999997</v>
      </c>
      <c r="F28" s="26"/>
      <c r="G28" s="26">
        <f>12.2+12.25</f>
        <v>24.45</v>
      </c>
      <c r="H28" s="27">
        <f>53.82+126.4+112.902+63.889</f>
        <v>357.01100000000002</v>
      </c>
      <c r="I28" s="27">
        <f>12.582+39.968+19.985</f>
        <v>72.534999999999997</v>
      </c>
      <c r="J28" s="27"/>
      <c r="K28" s="27"/>
      <c r="L28" s="27"/>
      <c r="M28" s="27"/>
      <c r="N28" s="27"/>
      <c r="O28" s="28"/>
    </row>
    <row r="29" spans="2:15" ht="18.600000000000001" customHeight="1" x14ac:dyDescent="0.25">
      <c r="B29" s="7">
        <v>26</v>
      </c>
      <c r="C29" s="7" t="s">
        <v>29</v>
      </c>
      <c r="D29" s="7" t="s">
        <v>10</v>
      </c>
      <c r="E29" s="26">
        <f>12.921+44.8+60.258+37.938+23.7+39.955+72.054+68.404+75.991</f>
        <v>436.02099999999996</v>
      </c>
      <c r="F29" s="26">
        <f>5.4+4.841+3.5</f>
        <v>13.741</v>
      </c>
      <c r="G29" s="26">
        <f>0.12+0.2+1.239+0.84+0.1+1.692+3.265</f>
        <v>7.4559999999999995</v>
      </c>
      <c r="H29" s="27">
        <f>20+56.438+69+74.904+56.506+55.1+51.523+69.783+48.369+51.096</f>
        <v>552.71900000000005</v>
      </c>
      <c r="I29" s="27">
        <f>1.6+2.303</f>
        <v>3.903</v>
      </c>
      <c r="J29" s="27"/>
      <c r="K29" s="27"/>
      <c r="L29" s="27"/>
      <c r="M29" s="61">
        <v>2.5000000000000001E-2</v>
      </c>
      <c r="N29" s="27"/>
      <c r="O29" s="28"/>
    </row>
    <row r="30" spans="2:15" ht="18.600000000000001" customHeight="1" x14ac:dyDescent="0.25">
      <c r="B30" s="7">
        <v>27</v>
      </c>
      <c r="C30" s="7" t="s">
        <v>30</v>
      </c>
      <c r="D30" s="7" t="s">
        <v>10</v>
      </c>
      <c r="E30" s="26">
        <f>227.063+43.552+44.396+0.008+61.51+826.9+800.767785+715.766+440.1+641.304+457.348+1086.88852+808.8549</f>
        <v>6154.4582050000008</v>
      </c>
      <c r="F30" s="26">
        <f>6+48.385+4.45+28.3+25.607+26.884+2.42</f>
        <v>142.04599999999999</v>
      </c>
      <c r="G30" s="26">
        <f>9.9+25.112+34.792+0.1+22.64+18.32+4+2.048</f>
        <v>116.91200000000001</v>
      </c>
      <c r="H30" s="27">
        <f>7.366+4+2+4.761+55.1+0.5+1+0.5</f>
        <v>75.227000000000004</v>
      </c>
      <c r="I30" s="27">
        <f>15+4.903+15.1+14.105+5.918+5.507+11.401+15.079</f>
        <v>87.013000000000005</v>
      </c>
      <c r="J30" s="27"/>
      <c r="K30" s="27"/>
      <c r="L30" s="27"/>
      <c r="M30" s="27">
        <f>20.4+218.118+149.479+187.582+89.588+101.261+146.108+171.5+84.639</f>
        <v>1168.6749999999997</v>
      </c>
      <c r="N30" s="27">
        <v>2</v>
      </c>
      <c r="O30" s="28"/>
    </row>
    <row r="31" spans="2:15" ht="18.600000000000001" customHeight="1" x14ac:dyDescent="0.25">
      <c r="B31" s="7">
        <v>28</v>
      </c>
      <c r="C31" s="7" t="s">
        <v>31</v>
      </c>
      <c r="D31" s="7" t="s">
        <v>10</v>
      </c>
      <c r="E31" s="26">
        <f>18.152+59.725+4.141+73.3+188.35+175.786+40.9+55.384+74.903+122.346+73.24</f>
        <v>886.22699999999998</v>
      </c>
      <c r="F31" s="26"/>
      <c r="G31" s="26">
        <f>9.18+5.834+40.6+13.265+5.168+7.918</f>
        <v>81.965000000000018</v>
      </c>
      <c r="H31" s="27"/>
      <c r="I31" s="27">
        <f>3.1+11.189+5.732+58.374+13.117</f>
        <v>91.512000000000015</v>
      </c>
      <c r="J31" s="27"/>
      <c r="K31" s="27"/>
      <c r="L31" s="27"/>
      <c r="M31" s="27">
        <f>18.012+18.1</f>
        <v>36.112000000000002</v>
      </c>
      <c r="N31" s="27"/>
      <c r="O31" s="28"/>
    </row>
    <row r="32" spans="2:15" ht="18.600000000000001" customHeight="1" x14ac:dyDescent="0.25">
      <c r="B32" s="7">
        <v>29</v>
      </c>
      <c r="C32" s="7" t="s">
        <v>32</v>
      </c>
      <c r="D32" s="7" t="s">
        <v>9</v>
      </c>
      <c r="E32" s="22"/>
      <c r="F32" s="22"/>
      <c r="G32" s="22">
        <f>907200+604800+324000</f>
        <v>1836000</v>
      </c>
      <c r="H32" s="20">
        <f>1152000+1116000+6544800+3960000</f>
        <v>12772800</v>
      </c>
      <c r="I32" s="20"/>
      <c r="J32" s="20"/>
      <c r="K32" s="20"/>
      <c r="L32" s="20"/>
      <c r="M32" s="20"/>
      <c r="N32" s="20"/>
      <c r="O32" s="24"/>
    </row>
    <row r="33" spans="2:15" ht="18.600000000000001" customHeight="1" x14ac:dyDescent="0.25">
      <c r="B33" s="7">
        <v>30</v>
      </c>
      <c r="C33" s="7" t="s">
        <v>33</v>
      </c>
      <c r="D33" s="7" t="s">
        <v>9</v>
      </c>
      <c r="E33" s="22">
        <f>50400+19080+19080</f>
        <v>88560</v>
      </c>
      <c r="F33" s="22"/>
      <c r="G33" s="22"/>
      <c r="H33" s="20"/>
      <c r="I33" s="20"/>
      <c r="J33" s="20"/>
      <c r="K33" s="20"/>
      <c r="L33" s="20"/>
      <c r="M33" s="20">
        <f>888600+591480+731000+752418+1011960+12000+671960+682040+233280+233280</f>
        <v>5808018</v>
      </c>
      <c r="N33" s="20"/>
      <c r="O33" s="24"/>
    </row>
    <row r="34" spans="2:15" x14ac:dyDescent="0.25">
      <c r="B34" s="7">
        <v>31</v>
      </c>
      <c r="C34" s="7" t="s">
        <v>63</v>
      </c>
      <c r="D34" s="7" t="s">
        <v>10</v>
      </c>
      <c r="E34" s="27"/>
      <c r="F34" s="27"/>
      <c r="G34" s="27"/>
      <c r="H34" s="27"/>
      <c r="I34" s="27"/>
      <c r="J34" s="27"/>
      <c r="K34" s="27"/>
      <c r="L34" s="27"/>
      <c r="M34" s="27"/>
      <c r="N34" s="27">
        <f>221.2+154.43+1.528+26.15+26.2+202.25+111.47+117.5+87.895</f>
        <v>948.62300000000005</v>
      </c>
      <c r="O34" s="27"/>
    </row>
    <row r="35" spans="2:15" x14ac:dyDescent="0.25">
      <c r="B35" s="7">
        <v>32</v>
      </c>
      <c r="C35" s="7" t="s">
        <v>74</v>
      </c>
      <c r="D35" s="7" t="s">
        <v>9</v>
      </c>
      <c r="E35" s="20"/>
      <c r="F35" s="20"/>
      <c r="G35" s="20">
        <f>2100+20000+6500</f>
        <v>28600</v>
      </c>
      <c r="H35" s="20"/>
      <c r="I35" s="20"/>
      <c r="J35" s="20"/>
      <c r="K35" s="20"/>
      <c r="L35" s="20"/>
      <c r="M35" s="20"/>
      <c r="N35" s="20"/>
      <c r="O35" s="20"/>
    </row>
    <row r="36" spans="2:15" x14ac:dyDescent="0.25">
      <c r="B36" s="7">
        <v>33</v>
      </c>
      <c r="C36" s="7" t="s">
        <v>41</v>
      </c>
      <c r="D36" s="7" t="s">
        <v>10</v>
      </c>
      <c r="E36" s="27"/>
      <c r="F36" s="27"/>
      <c r="G36" s="27">
        <v>126.5</v>
      </c>
      <c r="H36" s="27">
        <f>83.18+19</f>
        <v>102.18</v>
      </c>
      <c r="I36" s="27"/>
      <c r="J36" s="27"/>
      <c r="K36" s="27"/>
      <c r="L36" s="27"/>
      <c r="M36" s="27">
        <f>37.494+13.9+23.454</f>
        <v>74.847999999999999</v>
      </c>
      <c r="N36" s="27">
        <f>55.99+44.592+28.269+0.564+104+77.112+19.078+81.257</f>
        <v>410.86199999999997</v>
      </c>
      <c r="O36" s="27"/>
    </row>
    <row r="37" spans="2:15" x14ac:dyDescent="0.25">
      <c r="B37" s="7">
        <v>34</v>
      </c>
      <c r="C37" s="8" t="s">
        <v>95</v>
      </c>
      <c r="D37" s="8" t="s">
        <v>10</v>
      </c>
      <c r="E37" s="29"/>
      <c r="F37" s="29"/>
      <c r="G37" s="29"/>
      <c r="H37" s="29"/>
      <c r="I37" s="29"/>
      <c r="J37" s="29">
        <f>192+64+64+80+40</f>
        <v>440</v>
      </c>
      <c r="K37" s="29"/>
      <c r="L37" s="29"/>
      <c r="M37" s="29"/>
      <c r="N37" s="29">
        <f>43.97+103.45+418.2+308+359.4+295.06+133.68+208.13+249.31+44</f>
        <v>2163.1999999999998</v>
      </c>
      <c r="O37" s="29"/>
    </row>
    <row r="38" spans="2:15" x14ac:dyDescent="0.25">
      <c r="B38" s="7">
        <v>35</v>
      </c>
      <c r="C38" s="8" t="s">
        <v>106</v>
      </c>
      <c r="D38" s="8" t="s">
        <v>9</v>
      </c>
      <c r="E38" s="25"/>
      <c r="F38" s="25"/>
      <c r="G38" s="25"/>
      <c r="H38" s="25"/>
      <c r="I38" s="25"/>
      <c r="J38" s="25"/>
      <c r="K38" s="25"/>
      <c r="L38" s="25"/>
      <c r="M38" s="25"/>
      <c r="N38" s="25">
        <f>1180+6200+8175+6135+6340+6100</f>
        <v>34130</v>
      </c>
      <c r="O38" s="25"/>
    </row>
    <row r="39" spans="2:15" x14ac:dyDescent="0.25">
      <c r="B39" s="7">
        <v>36</v>
      </c>
      <c r="C39" s="8" t="s">
        <v>107</v>
      </c>
      <c r="D39" s="8" t="s">
        <v>9</v>
      </c>
      <c r="E39" s="25"/>
      <c r="F39" s="25"/>
      <c r="G39" s="25"/>
      <c r="H39" s="25"/>
      <c r="I39" s="25"/>
      <c r="J39" s="25"/>
      <c r="K39" s="25"/>
      <c r="L39" s="25"/>
      <c r="M39" s="25"/>
      <c r="N39" s="25">
        <v>6529</v>
      </c>
      <c r="O39" s="25"/>
    </row>
    <row r="40" spans="2:15" x14ac:dyDescent="0.25">
      <c r="B40" s="7">
        <v>37</v>
      </c>
      <c r="C40" s="8" t="s">
        <v>131</v>
      </c>
      <c r="D40" s="8" t="s">
        <v>9</v>
      </c>
      <c r="E40" s="25"/>
      <c r="F40" s="25"/>
      <c r="G40" s="25"/>
      <c r="H40" s="25"/>
      <c r="I40" s="25"/>
      <c r="J40" s="25"/>
      <c r="K40" s="25"/>
      <c r="L40" s="25"/>
      <c r="M40" s="25"/>
      <c r="N40" s="25">
        <f>3984+1200+13600+4925+4000+900+2400+900</f>
        <v>31909</v>
      </c>
      <c r="O40" s="25"/>
    </row>
    <row r="41" spans="2:15" x14ac:dyDescent="0.25">
      <c r="B41" s="7">
        <v>38</v>
      </c>
      <c r="C41" s="8" t="s">
        <v>176</v>
      </c>
      <c r="D41" s="8" t="s">
        <v>10</v>
      </c>
      <c r="E41" s="29"/>
      <c r="F41" s="29"/>
      <c r="G41" s="29"/>
      <c r="H41" s="29">
        <v>113.6</v>
      </c>
      <c r="I41" s="29"/>
      <c r="J41" s="29"/>
      <c r="K41" s="29"/>
      <c r="L41" s="29"/>
      <c r="M41" s="29"/>
      <c r="N41" s="29"/>
      <c r="O41" s="29"/>
    </row>
    <row r="42" spans="2:15" x14ac:dyDescent="0.25">
      <c r="B42" s="7">
        <v>39</v>
      </c>
      <c r="C42" s="8" t="s">
        <v>164</v>
      </c>
      <c r="D42" s="8" t="s">
        <v>9</v>
      </c>
      <c r="E42" s="25"/>
      <c r="F42" s="25"/>
      <c r="G42" s="25"/>
      <c r="H42" s="25"/>
      <c r="I42" s="25"/>
      <c r="J42" s="25"/>
      <c r="K42" s="25"/>
      <c r="L42" s="25"/>
      <c r="M42" s="20">
        <f>5000</f>
        <v>5000</v>
      </c>
      <c r="N42" s="25"/>
      <c r="O42" s="25"/>
    </row>
    <row r="43" spans="2:15" x14ac:dyDescent="0.25">
      <c r="B43" s="7">
        <v>40</v>
      </c>
      <c r="C43" s="8" t="s">
        <v>173</v>
      </c>
      <c r="D43" s="8" t="s">
        <v>10</v>
      </c>
      <c r="E43" s="29"/>
      <c r="F43" s="29"/>
      <c r="G43" s="29"/>
      <c r="H43" s="29"/>
      <c r="I43" s="29"/>
      <c r="J43" s="29"/>
      <c r="K43" s="29"/>
      <c r="L43" s="29"/>
      <c r="M43" s="29"/>
      <c r="N43" s="29">
        <f>0.02+0.066</f>
        <v>8.6000000000000007E-2</v>
      </c>
      <c r="O43" s="29"/>
    </row>
    <row r="44" spans="2:15" x14ac:dyDescent="0.25">
      <c r="B44" s="7">
        <v>41</v>
      </c>
      <c r="C44" s="8" t="s">
        <v>148</v>
      </c>
      <c r="D44" s="8" t="s">
        <v>10</v>
      </c>
      <c r="E44" s="29"/>
      <c r="F44" s="29"/>
      <c r="G44" s="29">
        <v>25</v>
      </c>
      <c r="H44" s="29"/>
      <c r="I44" s="29"/>
      <c r="J44" s="29"/>
      <c r="K44" s="29"/>
      <c r="L44" s="29"/>
      <c r="M44" s="29"/>
      <c r="N44" s="29">
        <f>0.302+0.264+27.29+0.33+27.165+0.32</f>
        <v>55.670999999999999</v>
      </c>
      <c r="O44" s="29"/>
    </row>
    <row r="45" spans="2:15" x14ac:dyDescent="0.25">
      <c r="B45" s="7">
        <v>42</v>
      </c>
      <c r="C45" s="7" t="s">
        <v>78</v>
      </c>
      <c r="D45" s="7" t="s">
        <v>9</v>
      </c>
      <c r="E45" s="22"/>
      <c r="F45" s="22"/>
      <c r="G45" s="22"/>
      <c r="H45" s="22"/>
      <c r="I45" s="22"/>
      <c r="J45" s="22"/>
      <c r="K45" s="22"/>
      <c r="L45" s="22"/>
      <c r="M45" s="22">
        <f>13355+21000+12300+15650+9410+12180+24140</f>
        <v>108035</v>
      </c>
      <c r="N45" s="20">
        <f>6070+2920+1250+1000</f>
        <v>11240</v>
      </c>
      <c r="O45" s="20"/>
    </row>
    <row r="46" spans="2:15" x14ac:dyDescent="0.25">
      <c r="B46" s="7">
        <v>43</v>
      </c>
      <c r="C46" s="7" t="s">
        <v>72</v>
      </c>
      <c r="D46" s="7" t="s">
        <v>10</v>
      </c>
      <c r="E46" s="27">
        <f>40.24+52.2+41.24+122+41+101.01+42.96+1.06+58.5</f>
        <v>500.21</v>
      </c>
      <c r="F46" s="27"/>
      <c r="G46" s="27"/>
      <c r="H46" s="27"/>
      <c r="I46" s="27">
        <v>19.32</v>
      </c>
      <c r="J46" s="27"/>
      <c r="K46" s="27"/>
      <c r="L46" s="27"/>
      <c r="M46" s="27"/>
      <c r="N46" s="27"/>
      <c r="O46" s="27"/>
    </row>
    <row r="47" spans="2:15" x14ac:dyDescent="0.25">
      <c r="B47" s="7">
        <v>44</v>
      </c>
      <c r="C47" s="7" t="s">
        <v>24</v>
      </c>
      <c r="D47" s="7" t="s">
        <v>10</v>
      </c>
      <c r="E47" s="27">
        <f>171.28+20+284.3+44+401.99+68.749+276.975+374.8+41+92.787+207.15+10.766+199.05+0.56+231.805+269.55+155.12+143.925</f>
        <v>2993.8070000000002</v>
      </c>
      <c r="F47" s="27"/>
      <c r="G47" s="27">
        <f>44+246.35+1.5+24.2+88+22+60+44+22+22+44</f>
        <v>618.04999999999995</v>
      </c>
      <c r="H47" s="27">
        <v>154.5</v>
      </c>
      <c r="I47" s="27">
        <f>66+66+66+66+132+65+195</f>
        <v>656</v>
      </c>
      <c r="J47" s="27"/>
      <c r="K47" s="27"/>
      <c r="L47" s="27"/>
      <c r="M47" s="27">
        <f>65.05+28+148.7+22+111.2+0.03+131+49.4+129.2+131+65.5+126+20</f>
        <v>1027.08</v>
      </c>
      <c r="N47" s="27">
        <f>17.625+40</f>
        <v>57.625</v>
      </c>
      <c r="O47" s="27"/>
    </row>
    <row r="48" spans="2:15" x14ac:dyDescent="0.25">
      <c r="B48" s="7">
        <v>45</v>
      </c>
      <c r="C48" s="7" t="s">
        <v>42</v>
      </c>
      <c r="D48" s="7" t="s">
        <v>10</v>
      </c>
      <c r="E48" s="27">
        <f>42.3+1475.54+0.03+2073+1369.573+1029.929+1999+1294.54+2545.08+2674.67+611.691</f>
        <v>15115.353000000001</v>
      </c>
      <c r="F48" s="27"/>
      <c r="G48" s="27">
        <f>1471.425+799.2+1610.7+1246.2+1496.2+203.65+1248+2473.1+1629.5</f>
        <v>12177.974999999999</v>
      </c>
      <c r="H48" s="27"/>
      <c r="I48" s="27"/>
      <c r="J48" s="27"/>
      <c r="K48" s="27"/>
      <c r="L48" s="27"/>
      <c r="M48" s="27">
        <f>44+22+44.5+61.5+20.035</f>
        <v>192.035</v>
      </c>
      <c r="N48" s="27"/>
      <c r="O48" s="27"/>
    </row>
    <row r="49" spans="1:15" x14ac:dyDescent="0.25">
      <c r="A49" s="13"/>
      <c r="B49" s="7">
        <v>46</v>
      </c>
      <c r="C49" s="7" t="s">
        <v>38</v>
      </c>
      <c r="D49" s="7" t="s">
        <v>10</v>
      </c>
      <c r="E49" s="27">
        <f>116.052+344.3+255.883+345.04+367.7+257.799+295.228+371.021+362.189</f>
        <v>2715.212</v>
      </c>
      <c r="F49" s="27"/>
      <c r="G49" s="27">
        <f>2.8+4.808+1.982</f>
        <v>9.59</v>
      </c>
      <c r="H49" s="27"/>
      <c r="I49" s="27"/>
      <c r="J49" s="27"/>
      <c r="K49" s="27"/>
      <c r="L49" s="27"/>
      <c r="M49" s="27">
        <f>41.215+23.153+21.598+32.537+66.831+21.721+21.563</f>
        <v>228.61799999999999</v>
      </c>
      <c r="N49" s="27">
        <f>51.696+18.112</f>
        <v>69.807999999999993</v>
      </c>
      <c r="O49" s="27"/>
    </row>
    <row r="50" spans="1:15" x14ac:dyDescent="0.25">
      <c r="B50" s="7">
        <v>47</v>
      </c>
      <c r="C50" s="7" t="s">
        <v>40</v>
      </c>
      <c r="D50" s="7" t="s">
        <v>10</v>
      </c>
      <c r="E50" s="27">
        <f>20.05+0.06+41.5+105+62.3+280</f>
        <v>508.91</v>
      </c>
      <c r="F50" s="27">
        <f>20+33+103+21+46+21+21</f>
        <v>265</v>
      </c>
      <c r="G50" s="27">
        <f>62+103+20+102+61+60+80</f>
        <v>488</v>
      </c>
      <c r="H50" s="27">
        <f>10+88+132+100+11.4+44+29.6+3.8+66+40+3.8+88</f>
        <v>616.59999999999991</v>
      </c>
      <c r="I50" s="27"/>
      <c r="J50" s="27"/>
      <c r="K50" s="27"/>
      <c r="L50" s="27"/>
      <c r="M50" s="27">
        <f>41.9+22+195+45.3+382.51+647.92+0.207+651.935+853.49+603.625+1135.9+1356.375</f>
        <v>5936.1620000000003</v>
      </c>
      <c r="N50" s="27">
        <v>14.914999999999999</v>
      </c>
      <c r="O50" s="27"/>
    </row>
    <row r="51" spans="1:15" x14ac:dyDescent="0.25">
      <c r="B51" s="7">
        <v>48</v>
      </c>
      <c r="C51" s="7" t="s">
        <v>39</v>
      </c>
      <c r="D51" s="7" t="s">
        <v>10</v>
      </c>
      <c r="E51" s="27">
        <f>2.8+17.59+0.753</f>
        <v>21.143000000000001</v>
      </c>
      <c r="F51" s="27">
        <f>2.33+0.8+1.168+4</f>
        <v>8.298</v>
      </c>
      <c r="G51" s="27">
        <f>1.77+2.047+0.895+2.624</f>
        <v>7.3360000000000003</v>
      </c>
      <c r="H51" s="27">
        <f>4.7+1.798+7.99</f>
        <v>14.488</v>
      </c>
      <c r="I51" s="27"/>
      <c r="J51" s="27"/>
      <c r="K51" s="27"/>
      <c r="L51" s="27"/>
      <c r="M51" s="27">
        <f>22.444+13.533+46.1606+6.2+45.575+21</f>
        <v>154.9126</v>
      </c>
      <c r="N51" s="27">
        <f>1.78+17.068+0.1</f>
        <v>18.948000000000004</v>
      </c>
      <c r="O51" s="27"/>
    </row>
    <row r="52" spans="1:15" x14ac:dyDescent="0.25">
      <c r="B52" s="7">
        <v>49</v>
      </c>
      <c r="C52" s="8" t="s">
        <v>156</v>
      </c>
      <c r="D52" s="8" t="s">
        <v>10</v>
      </c>
      <c r="E52" s="29">
        <f>44+22+22+22</f>
        <v>110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B53" s="7">
        <v>50</v>
      </c>
      <c r="C53" s="8" t="s">
        <v>180</v>
      </c>
      <c r="D53" s="8" t="s">
        <v>10</v>
      </c>
      <c r="E53" s="29"/>
      <c r="F53" s="29">
        <f>47.8+48+76</f>
        <v>171.8</v>
      </c>
      <c r="G53" s="29"/>
      <c r="H53" s="29"/>
      <c r="I53" s="29"/>
      <c r="J53" s="29"/>
      <c r="K53" s="29"/>
      <c r="L53" s="29"/>
      <c r="M53" s="29"/>
      <c r="N53" s="29"/>
      <c r="O53" s="29"/>
    </row>
    <row r="54" spans="1:15" s="13" customFormat="1" x14ac:dyDescent="0.25">
      <c r="B54" s="7">
        <v>51</v>
      </c>
      <c r="C54" s="7" t="s">
        <v>23</v>
      </c>
      <c r="D54" s="7" t="s">
        <v>10</v>
      </c>
      <c r="E54" s="26"/>
      <c r="F54" s="26">
        <v>88.073999999999998</v>
      </c>
      <c r="G54" s="26">
        <f>328.463+120.203+481.025</f>
        <v>929.69100000000003</v>
      </c>
      <c r="H54" s="26"/>
      <c r="I54" s="26"/>
      <c r="J54" s="26"/>
      <c r="K54" s="26"/>
      <c r="L54" s="26"/>
      <c r="M54" s="26">
        <f>63+105+125+147+126+103+62+84</f>
        <v>815</v>
      </c>
      <c r="N54" s="27">
        <f>216+432+120+168+240+192+96</f>
        <v>1464</v>
      </c>
      <c r="O54" s="27"/>
    </row>
    <row r="55" spans="1:15" x14ac:dyDescent="0.25">
      <c r="B55" s="7">
        <v>52</v>
      </c>
      <c r="C55" s="7" t="s">
        <v>87</v>
      </c>
      <c r="D55" s="7" t="s">
        <v>8</v>
      </c>
      <c r="E55" s="22">
        <f>35+3+1</f>
        <v>39</v>
      </c>
      <c r="F55" s="22">
        <f>4+17+10+2+2+9+2</f>
        <v>46</v>
      </c>
      <c r="G55" s="22">
        <v>2</v>
      </c>
      <c r="H55" s="22">
        <f>3+1+3+2+14+1+3</f>
        <v>27</v>
      </c>
      <c r="I55" s="22"/>
      <c r="J55" s="22"/>
      <c r="K55" s="22"/>
      <c r="L55" s="22"/>
      <c r="M55" s="22">
        <v>2</v>
      </c>
      <c r="N55" s="20">
        <f>2+2+1+9+1+1+3</f>
        <v>19</v>
      </c>
      <c r="O55" s="20"/>
    </row>
    <row r="56" spans="1:15" x14ac:dyDescent="0.25">
      <c r="B56" s="7">
        <v>53</v>
      </c>
      <c r="C56" s="7" t="s">
        <v>88</v>
      </c>
      <c r="D56" s="7" t="s">
        <v>8</v>
      </c>
      <c r="E56" s="22">
        <v>1</v>
      </c>
      <c r="F56" s="22">
        <f>4+2+1+9+1+1+8+10+2+6</f>
        <v>44</v>
      </c>
      <c r="G56" s="22"/>
      <c r="H56" s="22">
        <f>3+2+2+1+2</f>
        <v>10</v>
      </c>
      <c r="I56" s="22"/>
      <c r="J56" s="22"/>
      <c r="K56" s="22"/>
      <c r="L56" s="22"/>
      <c r="M56" s="22"/>
      <c r="N56" s="20">
        <f>2+1+1+15</f>
        <v>19</v>
      </c>
      <c r="O56" s="20"/>
    </row>
    <row r="57" spans="1:15" x14ac:dyDescent="0.25">
      <c r="B57" s="7">
        <v>54</v>
      </c>
      <c r="C57" s="7" t="s">
        <v>179</v>
      </c>
      <c r="D57" s="7" t="s">
        <v>8</v>
      </c>
      <c r="E57" s="22">
        <f>500+1418+500+750+305</f>
        <v>3473</v>
      </c>
      <c r="F57" s="22">
        <f>4680+3518+89+2896+3+3966+6021+3925+1560+20+5148+16</f>
        <v>31842</v>
      </c>
      <c r="G57" s="22">
        <v>2</v>
      </c>
      <c r="H57" s="22">
        <v>3</v>
      </c>
      <c r="I57" s="22"/>
      <c r="J57" s="22"/>
      <c r="K57" s="22"/>
      <c r="L57" s="22"/>
      <c r="M57" s="22">
        <v>1305</v>
      </c>
      <c r="N57" s="20">
        <f>500+87</f>
        <v>587</v>
      </c>
      <c r="O57" s="20"/>
    </row>
    <row r="58" spans="1:15" x14ac:dyDescent="0.25">
      <c r="B58" s="7">
        <v>55</v>
      </c>
      <c r="C58" s="7" t="s">
        <v>35</v>
      </c>
      <c r="D58" s="7" t="s">
        <v>10</v>
      </c>
      <c r="E58" s="26">
        <v>1.0349999999999999</v>
      </c>
      <c r="F58" s="26">
        <f>0.1+1.5+4.7</f>
        <v>6.3000000000000007</v>
      </c>
      <c r="G58" s="26">
        <f>0.5+8+4+5</f>
        <v>17.5</v>
      </c>
      <c r="H58" s="26">
        <f>0.26+0.3+0.96</f>
        <v>1.52</v>
      </c>
      <c r="I58" s="26"/>
      <c r="J58" s="26"/>
      <c r="K58" s="26"/>
      <c r="L58" s="26"/>
      <c r="M58" s="29"/>
      <c r="N58" s="26">
        <f>13.973+1.925+10.772+40.723+5.908+66.113+3.61+7.515+26.339+19.697+5.485+27.333</f>
        <v>229.393</v>
      </c>
      <c r="O58" s="27"/>
    </row>
    <row r="59" spans="1:15" x14ac:dyDescent="0.25">
      <c r="B59" s="7">
        <v>56</v>
      </c>
      <c r="C59" s="7" t="s">
        <v>37</v>
      </c>
      <c r="D59" s="7" t="s">
        <v>10</v>
      </c>
      <c r="E59" s="26">
        <f>420+935.2+140+1668.8</f>
        <v>3164</v>
      </c>
      <c r="F59" s="26"/>
      <c r="G59" s="26">
        <f>277.9+910+138.574+140+1762.5+770+2445.45</f>
        <v>6444.424</v>
      </c>
      <c r="H59" s="26"/>
      <c r="I59" s="26"/>
      <c r="J59" s="26"/>
      <c r="K59" s="26"/>
      <c r="L59" s="26"/>
      <c r="M59" s="26"/>
      <c r="N59" s="27">
        <f>2388.4+80.6+1415.32+4359.95+2991.11+1039.5+723.65+3295.36+565.15</f>
        <v>16859.04</v>
      </c>
      <c r="O59" s="27"/>
    </row>
    <row r="60" spans="1:15" x14ac:dyDescent="0.25">
      <c r="B60" s="7">
        <v>57</v>
      </c>
      <c r="C60" s="7" t="s">
        <v>45</v>
      </c>
      <c r="D60" s="7" t="s">
        <v>10</v>
      </c>
      <c r="E60" s="26">
        <f>17.3+0.848+0.01+0.029+0.216+9.451+0.3016</f>
        <v>28.155600000000003</v>
      </c>
      <c r="F60" s="26"/>
      <c r="G60" s="26">
        <f>0.806+0.9+0.03</f>
        <v>1.736</v>
      </c>
      <c r="H60" s="26"/>
      <c r="I60" s="26"/>
      <c r="J60" s="26"/>
      <c r="K60" s="26"/>
      <c r="L60" s="26"/>
      <c r="M60" s="26">
        <f>15.965+10.8+0.094+5.262+0.286+56.114+26.211+0.476+2.469</f>
        <v>117.67699999999999</v>
      </c>
      <c r="N60" s="27"/>
      <c r="O60" s="27"/>
    </row>
    <row r="61" spans="1:15" x14ac:dyDescent="0.25">
      <c r="B61" s="7">
        <v>58</v>
      </c>
      <c r="C61" s="7" t="s">
        <v>48</v>
      </c>
      <c r="D61" s="7" t="s">
        <v>9</v>
      </c>
      <c r="E61" s="22"/>
      <c r="F61" s="22">
        <f>2+2+3</f>
        <v>7</v>
      </c>
      <c r="G61" s="22"/>
      <c r="H61" s="22"/>
      <c r="I61" s="22"/>
      <c r="J61" s="22"/>
      <c r="K61" s="22"/>
      <c r="L61" s="22"/>
      <c r="M61" s="22"/>
      <c r="N61" s="20">
        <f>8+25+21+24+31+36+13+24+23</f>
        <v>205</v>
      </c>
      <c r="O61" s="20"/>
    </row>
    <row r="62" spans="1:15" x14ac:dyDescent="0.25">
      <c r="B62" s="7">
        <v>59</v>
      </c>
      <c r="C62" s="7" t="s">
        <v>49</v>
      </c>
      <c r="D62" s="7" t="s">
        <v>10</v>
      </c>
      <c r="E62" s="26"/>
      <c r="F62" s="26"/>
      <c r="G62" s="26"/>
      <c r="H62" s="26"/>
      <c r="I62" s="26"/>
      <c r="J62" s="26"/>
      <c r="K62" s="26"/>
      <c r="L62" s="26"/>
      <c r="M62" s="26">
        <f>20.7+63+21.2+13.4</f>
        <v>118.30000000000001</v>
      </c>
      <c r="N62" s="27">
        <f>21.8+2.05+0.681+4.535+4.25338+5.5665+4.282+2.76494+15.604+2.078</f>
        <v>63.614820000000002</v>
      </c>
      <c r="O62" s="27"/>
    </row>
    <row r="63" spans="1:15" x14ac:dyDescent="0.25">
      <c r="B63" s="7">
        <v>60</v>
      </c>
      <c r="C63" s="7" t="s">
        <v>50</v>
      </c>
      <c r="D63" s="7" t="s">
        <v>9</v>
      </c>
      <c r="E63" s="22"/>
      <c r="F63" s="22">
        <f>64000+64000+64000+117000+67000+67000+67000+1367000</f>
        <v>1877000</v>
      </c>
      <c r="G63" s="22"/>
      <c r="H63" s="22"/>
      <c r="I63" s="22"/>
      <c r="J63" s="22"/>
      <c r="K63" s="22"/>
      <c r="L63" s="22"/>
      <c r="M63" s="22">
        <f>64000+7700000+4360000+7004000+67000+11540000+67000+2700000+117000+2827000+5037000+2657000+8214000</f>
        <v>52354000</v>
      </c>
      <c r="N63" s="20"/>
      <c r="O63" s="20"/>
    </row>
    <row r="64" spans="1:15" x14ac:dyDescent="0.25">
      <c r="B64" s="7">
        <v>61</v>
      </c>
      <c r="C64" s="7" t="s">
        <v>64</v>
      </c>
      <c r="D64" s="7" t="s">
        <v>10</v>
      </c>
      <c r="E64" s="26">
        <v>0.6</v>
      </c>
      <c r="F64" s="26">
        <v>21</v>
      </c>
      <c r="G64" s="26">
        <f>29.555+40.9+55.959+58.847+57.4+86.164+70.352+67.218+52.46</f>
        <v>518.85500000000002</v>
      </c>
      <c r="H64" s="26"/>
      <c r="I64" s="26"/>
      <c r="J64" s="26">
        <v>20.495000000000001</v>
      </c>
      <c r="K64" s="26"/>
      <c r="L64" s="26"/>
      <c r="M64" s="26">
        <f>28.018+20.5</f>
        <v>48.518000000000001</v>
      </c>
      <c r="N64" s="27"/>
      <c r="O64" s="27"/>
    </row>
    <row r="65" spans="2:15" x14ac:dyDescent="0.25">
      <c r="B65" s="7">
        <v>62</v>
      </c>
      <c r="C65" s="7" t="s">
        <v>75</v>
      </c>
      <c r="D65" s="7" t="s">
        <v>10</v>
      </c>
      <c r="E65" s="26">
        <f>18.506+20.8+39.5</f>
        <v>78.805999999999997</v>
      </c>
      <c r="F65" s="26">
        <f>35+20.6+48+112+19.832</f>
        <v>235.43199999999999</v>
      </c>
      <c r="G65" s="26">
        <f>126.052+147+84+100+280.1</f>
        <v>737.15200000000004</v>
      </c>
      <c r="H65" s="26"/>
      <c r="I65" s="26"/>
      <c r="J65" s="26"/>
      <c r="K65" s="26"/>
      <c r="L65" s="26"/>
      <c r="M65" s="26"/>
      <c r="N65" s="27"/>
      <c r="O65" s="27"/>
    </row>
    <row r="66" spans="2:15" x14ac:dyDescent="0.25">
      <c r="B66" s="7">
        <v>63</v>
      </c>
      <c r="C66" s="7" t="s">
        <v>66</v>
      </c>
      <c r="D66" s="7" t="s">
        <v>10</v>
      </c>
      <c r="E66" s="26">
        <f>22.044+47.8+49.856+59.748+36.8+82.199+62.854+47.392+48.324</f>
        <v>457.017</v>
      </c>
      <c r="F66" s="26"/>
      <c r="G66" s="26"/>
      <c r="H66" s="26"/>
      <c r="I66" s="26"/>
      <c r="J66" s="26"/>
      <c r="K66" s="26"/>
      <c r="L66" s="26"/>
      <c r="M66" s="26"/>
      <c r="N66" s="27"/>
      <c r="O66" s="27"/>
    </row>
    <row r="67" spans="2:15" x14ac:dyDescent="0.25">
      <c r="B67" s="7">
        <v>64</v>
      </c>
      <c r="C67" s="7" t="s">
        <v>67</v>
      </c>
      <c r="D67" s="7" t="s">
        <v>8</v>
      </c>
      <c r="E67" s="22">
        <f>110000+42120+143400+228000+100000+179000+49000+52000+138000</f>
        <v>1041520</v>
      </c>
      <c r="F67" s="22">
        <v>10</v>
      </c>
      <c r="G67" s="22">
        <f>25000</f>
        <v>25000</v>
      </c>
      <c r="H67" s="22">
        <f>5100+4000+2000+2600</f>
        <v>13700</v>
      </c>
      <c r="I67" s="22"/>
      <c r="J67" s="22"/>
      <c r="K67" s="22"/>
      <c r="L67" s="22"/>
      <c r="M67" s="22">
        <f>40000+20000+42120+128000+41600+15520+45000</f>
        <v>332240</v>
      </c>
      <c r="N67" s="20">
        <v>4000</v>
      </c>
      <c r="O67" s="20"/>
    </row>
    <row r="68" spans="2:15" x14ac:dyDescent="0.25">
      <c r="B68" s="7">
        <v>65</v>
      </c>
      <c r="C68" s="7" t="s">
        <v>68</v>
      </c>
      <c r="D68" s="7" t="s">
        <v>10</v>
      </c>
      <c r="E68" s="26">
        <f>22.65+20.5+0.6+40.77+20.677+102.227+122.137+60.409</f>
        <v>389.97</v>
      </c>
      <c r="F68" s="26">
        <v>60</v>
      </c>
      <c r="G68" s="26">
        <f>80+80+40+20+27.8+37.837+9.879+9.629</f>
        <v>305.14500000000004</v>
      </c>
      <c r="H68" s="26"/>
      <c r="I68" s="26"/>
      <c r="J68" s="26"/>
      <c r="K68" s="26"/>
      <c r="L68" s="26"/>
      <c r="M68" s="26"/>
      <c r="N68" s="27">
        <f>20+5+18.5</f>
        <v>43.5</v>
      </c>
      <c r="O68" s="27"/>
    </row>
    <row r="69" spans="2:15" ht="14.45" customHeight="1" x14ac:dyDescent="0.25">
      <c r="B69" s="7">
        <v>66</v>
      </c>
      <c r="C69" s="7" t="s">
        <v>70</v>
      </c>
      <c r="D69" s="7" t="s">
        <v>10</v>
      </c>
      <c r="E69" s="26">
        <f>7.881+85.508+82.8+118.385+121.503+79.8+174.274+46.118+172.848+260.88+545.795</f>
        <v>1695.7920000000004</v>
      </c>
      <c r="F69" s="26">
        <f>20+27.572</f>
        <v>47.572000000000003</v>
      </c>
      <c r="G69" s="26">
        <f>13.2+2</f>
        <v>15.2</v>
      </c>
      <c r="H69" s="26">
        <f>5.387+4.018+6.062+8.295</f>
        <v>23.762</v>
      </c>
      <c r="I69" s="26">
        <f>0.364+0.78+5.3+151.513+7.02+105.615+78.349</f>
        <v>348.94099999999997</v>
      </c>
      <c r="J69" s="26"/>
      <c r="K69" s="26"/>
      <c r="L69" s="26"/>
      <c r="M69" s="26"/>
      <c r="N69" s="27"/>
      <c r="O69" s="27"/>
    </row>
    <row r="70" spans="2:15" x14ac:dyDescent="0.25">
      <c r="B70" s="7">
        <v>67</v>
      </c>
      <c r="C70" s="7" t="s">
        <v>71</v>
      </c>
      <c r="D70" s="7" t="s">
        <v>10</v>
      </c>
      <c r="E70" s="26">
        <f>3.76+0.096+0.095+0.316</f>
        <v>4.2670000000000003</v>
      </c>
      <c r="F70" s="26"/>
      <c r="G70" s="26"/>
      <c r="H70" s="26">
        <f>0.04+0.05+0.03</f>
        <v>0.12</v>
      </c>
      <c r="I70" s="26"/>
      <c r="J70" s="26"/>
      <c r="K70" s="26"/>
      <c r="L70" s="26"/>
      <c r="M70" s="60">
        <v>4.0000000000000001E-3</v>
      </c>
      <c r="N70" s="61">
        <v>0.01</v>
      </c>
      <c r="O70" s="27"/>
    </row>
    <row r="71" spans="2:15" s="13" customFormat="1" x14ac:dyDescent="0.25">
      <c r="B71" s="7">
        <v>68</v>
      </c>
      <c r="C71" s="7" t="s">
        <v>73</v>
      </c>
      <c r="D71" s="7" t="s">
        <v>10</v>
      </c>
      <c r="E71" s="26">
        <f>19.84+160+100+100+218.88+218.7+69+120+220+280+100</f>
        <v>1606.42</v>
      </c>
      <c r="F71" s="26"/>
      <c r="G71" s="26">
        <f>648+600+588+988+792+939+843+641+605</f>
        <v>6644</v>
      </c>
      <c r="H71" s="26">
        <v>20</v>
      </c>
      <c r="I71" s="26"/>
      <c r="J71" s="26"/>
      <c r="K71" s="26"/>
      <c r="L71" s="26"/>
      <c r="M71" s="26">
        <v>75</v>
      </c>
      <c r="N71" s="27">
        <v>88</v>
      </c>
      <c r="O71" s="27"/>
    </row>
    <row r="72" spans="2:15" x14ac:dyDescent="0.25">
      <c r="B72" s="7">
        <v>69</v>
      </c>
      <c r="C72" s="8" t="s">
        <v>89</v>
      </c>
      <c r="D72" s="8" t="s">
        <v>10</v>
      </c>
      <c r="E72" s="29"/>
      <c r="F72" s="29"/>
      <c r="G72" s="29"/>
      <c r="H72" s="29"/>
      <c r="I72" s="29"/>
      <c r="J72" s="29"/>
      <c r="K72" s="29"/>
      <c r="L72" s="29"/>
      <c r="M72" s="29">
        <v>10.199999999999999</v>
      </c>
      <c r="N72" s="29">
        <f>146.37+29.2+29.41+147.51+29+88.18+137.51+81.06+124.55</f>
        <v>812.79</v>
      </c>
      <c r="O72" s="29"/>
    </row>
    <row r="73" spans="2:15" x14ac:dyDescent="0.25">
      <c r="B73" s="7">
        <v>70</v>
      </c>
      <c r="C73" s="8" t="s">
        <v>91</v>
      </c>
      <c r="D73" s="8" t="s">
        <v>92</v>
      </c>
      <c r="E73" s="25">
        <f>8000+7000+3000+9000+2018+1000+3000+10840+26680</f>
        <v>70538</v>
      </c>
      <c r="F73" s="25"/>
      <c r="G73" s="25"/>
      <c r="H73" s="25"/>
      <c r="I73" s="25">
        <v>19320</v>
      </c>
      <c r="J73" s="25"/>
      <c r="K73" s="25"/>
      <c r="L73" s="25"/>
      <c r="M73" s="25"/>
      <c r="N73" s="25"/>
      <c r="O73" s="25"/>
    </row>
    <row r="74" spans="2:15" x14ac:dyDescent="0.25">
      <c r="B74" s="7">
        <v>71</v>
      </c>
      <c r="C74" s="8" t="s">
        <v>105</v>
      </c>
      <c r="D74" s="8" t="s">
        <v>10</v>
      </c>
      <c r="E74" s="29"/>
      <c r="F74" s="29"/>
      <c r="G74" s="29"/>
      <c r="H74" s="29"/>
      <c r="I74" s="29"/>
      <c r="J74" s="29"/>
      <c r="K74" s="29"/>
      <c r="L74" s="29"/>
      <c r="M74" s="29"/>
      <c r="N74" s="29">
        <f>10.6+14.75+12.64</f>
        <v>37.99</v>
      </c>
      <c r="O74" s="29"/>
    </row>
    <row r="75" spans="2:15" x14ac:dyDescent="0.25">
      <c r="B75" s="7">
        <v>72</v>
      </c>
      <c r="C75" s="8" t="s">
        <v>97</v>
      </c>
      <c r="D75" s="8" t="s">
        <v>92</v>
      </c>
      <c r="E75" s="25">
        <f>26400+31500+79900+90736+85260+38478+51180+6732+75532</f>
        <v>485718</v>
      </c>
      <c r="F75" s="25"/>
      <c r="G75" s="25">
        <f>2250+60</f>
        <v>2310</v>
      </c>
      <c r="H75" s="25">
        <f>12680+15536+10720</f>
        <v>38936</v>
      </c>
      <c r="I75" s="25"/>
      <c r="J75" s="25"/>
      <c r="K75" s="25"/>
      <c r="L75" s="25"/>
      <c r="M75" s="25"/>
      <c r="N75" s="25"/>
      <c r="O75" s="25"/>
    </row>
    <row r="76" spans="2:15" x14ac:dyDescent="0.25">
      <c r="B76" s="7">
        <v>73</v>
      </c>
      <c r="C76" s="8" t="s">
        <v>98</v>
      </c>
      <c r="D76" s="8" t="s">
        <v>10</v>
      </c>
      <c r="E76" s="29">
        <f>14.621+15.3+22.272+17.189+48.6+22.587+17.389+9.24+41.271</f>
        <v>208.46899999999999</v>
      </c>
      <c r="F76" s="29"/>
      <c r="G76" s="29">
        <f>80.045+37.62</f>
        <v>117.66499999999999</v>
      </c>
      <c r="H76" s="29"/>
      <c r="I76" s="29"/>
      <c r="J76" s="29"/>
      <c r="K76" s="29"/>
      <c r="L76" s="29"/>
      <c r="M76" s="29"/>
      <c r="N76" s="29"/>
      <c r="O76" s="29"/>
    </row>
    <row r="77" spans="2:15" x14ac:dyDescent="0.25">
      <c r="B77" s="7">
        <v>74</v>
      </c>
      <c r="C77" s="8" t="s">
        <v>99</v>
      </c>
      <c r="D77" s="8" t="s">
        <v>9</v>
      </c>
      <c r="E77" s="25"/>
      <c r="F77" s="25"/>
      <c r="G77" s="25">
        <v>40</v>
      </c>
      <c r="H77" s="25">
        <v>10000</v>
      </c>
      <c r="I77" s="25"/>
      <c r="J77" s="25"/>
      <c r="K77" s="25"/>
      <c r="L77" s="25"/>
      <c r="M77" s="25">
        <v>320</v>
      </c>
      <c r="N77" s="25"/>
      <c r="O77" s="25"/>
    </row>
    <row r="78" spans="2:15" x14ac:dyDescent="0.25">
      <c r="B78" s="7">
        <v>75</v>
      </c>
      <c r="C78" s="8" t="s">
        <v>115</v>
      </c>
      <c r="D78" s="8" t="s">
        <v>116</v>
      </c>
      <c r="E78" s="25">
        <f>82000+86260</f>
        <v>168260</v>
      </c>
      <c r="F78" s="25">
        <f>27758+35815</f>
        <v>63573</v>
      </c>
      <c r="G78" s="25"/>
      <c r="H78" s="25"/>
      <c r="I78" s="25"/>
      <c r="J78" s="25"/>
      <c r="K78" s="25"/>
      <c r="L78" s="25"/>
      <c r="M78" s="25">
        <f>12000+22437+41122+1416+63191+48505</f>
        <v>188671</v>
      </c>
      <c r="N78" s="25"/>
      <c r="O78" s="25"/>
    </row>
    <row r="79" spans="2:15" x14ac:dyDescent="0.25">
      <c r="B79" s="7">
        <v>76</v>
      </c>
      <c r="C79" s="8" t="s">
        <v>127</v>
      </c>
      <c r="D79" s="8" t="s">
        <v>10</v>
      </c>
      <c r="E79" s="29">
        <f>0.326+0.238+0.253+1.076+1+0.005</f>
        <v>2.8980000000000001</v>
      </c>
      <c r="F79" s="29"/>
      <c r="G79" s="29">
        <v>2</v>
      </c>
      <c r="H79" s="29"/>
      <c r="I79" s="29">
        <f>0.75+0.75</f>
        <v>1.5</v>
      </c>
      <c r="J79" s="29"/>
      <c r="K79" s="29"/>
      <c r="L79" s="29"/>
      <c r="M79" s="29"/>
      <c r="N79" s="29"/>
      <c r="O79" s="29"/>
    </row>
    <row r="80" spans="2:15" x14ac:dyDescent="0.25">
      <c r="B80" s="7">
        <v>77</v>
      </c>
      <c r="C80" s="8" t="s">
        <v>128</v>
      </c>
      <c r="D80" s="8" t="s">
        <v>10</v>
      </c>
      <c r="E80" s="29"/>
      <c r="F80" s="29">
        <v>58.972000000000001</v>
      </c>
      <c r="G80" s="29"/>
      <c r="H80" s="29"/>
      <c r="I80" s="29"/>
      <c r="J80" s="29"/>
      <c r="K80" s="29"/>
      <c r="L80" s="29"/>
      <c r="M80" s="29"/>
      <c r="N80" s="29"/>
      <c r="O80" s="29"/>
    </row>
    <row r="81" spans="2:15" x14ac:dyDescent="0.25">
      <c r="B81" s="7">
        <v>78</v>
      </c>
      <c r="C81" s="8" t="s">
        <v>129</v>
      </c>
      <c r="D81" s="8" t="s">
        <v>10</v>
      </c>
      <c r="E81" s="29">
        <f>0.309+1.096</f>
        <v>1.405</v>
      </c>
      <c r="F81" s="29"/>
      <c r="G81" s="29"/>
      <c r="H81" s="29"/>
      <c r="I81" s="29"/>
      <c r="J81" s="29"/>
      <c r="K81" s="29"/>
      <c r="L81" s="29"/>
      <c r="M81" s="29"/>
      <c r="N81" s="29">
        <v>12.55</v>
      </c>
      <c r="O81" s="29"/>
    </row>
    <row r="82" spans="2:15" x14ac:dyDescent="0.25">
      <c r="B82" s="7">
        <v>79</v>
      </c>
      <c r="C82" s="8" t="s">
        <v>130</v>
      </c>
      <c r="D82" s="8" t="s">
        <v>10</v>
      </c>
      <c r="E82" s="29"/>
      <c r="F82" s="29"/>
      <c r="G82" s="29"/>
      <c r="H82" s="29"/>
      <c r="I82" s="29"/>
      <c r="J82" s="29">
        <v>21</v>
      </c>
      <c r="K82" s="29"/>
      <c r="L82" s="29"/>
      <c r="M82" s="29">
        <f>25+24+139+93+24+120+120</f>
        <v>545</v>
      </c>
      <c r="N82" s="29"/>
      <c r="O82" s="29"/>
    </row>
    <row r="83" spans="2:15" x14ac:dyDescent="0.25">
      <c r="B83" s="7">
        <v>80</v>
      </c>
      <c r="C83" s="8" t="s">
        <v>151</v>
      </c>
      <c r="D83" s="8" t="s">
        <v>10</v>
      </c>
      <c r="E83" s="29">
        <f>22.015+0.623+2.4</f>
        <v>25.038</v>
      </c>
      <c r="F83" s="29"/>
      <c r="G83" s="29">
        <f>22+10</f>
        <v>32</v>
      </c>
      <c r="H83" s="29">
        <f>45+67.5+90+90+112.5+45+90</f>
        <v>540</v>
      </c>
      <c r="I83" s="29"/>
      <c r="J83" s="29"/>
      <c r="K83" s="29"/>
      <c r="L83" s="29"/>
      <c r="M83" s="29"/>
      <c r="N83" s="29"/>
      <c r="O83" s="29"/>
    </row>
    <row r="84" spans="2:15" x14ac:dyDescent="0.25">
      <c r="B84" s="7">
        <v>81</v>
      </c>
      <c r="C84" s="8" t="s">
        <v>152</v>
      </c>
      <c r="D84" s="8" t="s">
        <v>8</v>
      </c>
      <c r="E84" s="25"/>
      <c r="F84" s="25"/>
      <c r="G84" s="25">
        <v>1</v>
      </c>
      <c r="H84" s="25"/>
      <c r="I84" s="25"/>
      <c r="J84" s="25"/>
      <c r="K84" s="25"/>
      <c r="L84" s="25"/>
      <c r="M84" s="25"/>
      <c r="N84" s="25"/>
      <c r="O84" s="25"/>
    </row>
    <row r="85" spans="2:15" x14ac:dyDescent="0.25">
      <c r="B85" s="7">
        <v>82</v>
      </c>
      <c r="C85" s="8" t="s">
        <v>153</v>
      </c>
      <c r="D85" s="8" t="s">
        <v>8</v>
      </c>
      <c r="E85" s="25"/>
      <c r="F85" s="25">
        <v>1</v>
      </c>
      <c r="G85" s="25">
        <v>8</v>
      </c>
      <c r="H85" s="25">
        <v>2</v>
      </c>
      <c r="I85" s="25"/>
      <c r="J85" s="25"/>
      <c r="K85" s="25"/>
      <c r="L85" s="25"/>
      <c r="M85" s="25"/>
      <c r="N85" s="25"/>
      <c r="O85" s="25"/>
    </row>
    <row r="86" spans="2:15" x14ac:dyDescent="0.25">
      <c r="B86" s="7">
        <v>83</v>
      </c>
      <c r="C86" s="8" t="s">
        <v>154</v>
      </c>
      <c r="D86" s="8" t="s">
        <v>8</v>
      </c>
      <c r="E86" s="25"/>
      <c r="F86" s="25">
        <v>2</v>
      </c>
      <c r="G86" s="25"/>
      <c r="H86" s="25"/>
      <c r="I86" s="25"/>
      <c r="J86" s="25"/>
      <c r="K86" s="25"/>
      <c r="L86" s="25"/>
      <c r="M86" s="25"/>
      <c r="N86" s="25"/>
      <c r="O86" s="25"/>
    </row>
    <row r="87" spans="2:15" x14ac:dyDescent="0.25">
      <c r="B87" s="7">
        <v>84</v>
      </c>
      <c r="C87" s="8" t="s">
        <v>155</v>
      </c>
      <c r="D87" s="8" t="s">
        <v>116</v>
      </c>
      <c r="E87" s="25">
        <f>2500+400000</f>
        <v>402500</v>
      </c>
      <c r="F87" s="25"/>
      <c r="G87" s="25">
        <v>275</v>
      </c>
      <c r="H87" s="25"/>
      <c r="I87" s="25"/>
      <c r="J87" s="25"/>
      <c r="K87" s="25"/>
      <c r="L87" s="25"/>
      <c r="M87" s="25"/>
      <c r="N87" s="25"/>
      <c r="O87" s="25"/>
    </row>
    <row r="88" spans="2:15" x14ac:dyDescent="0.25">
      <c r="B88" s="7">
        <v>85</v>
      </c>
      <c r="C88" s="8" t="s">
        <v>145</v>
      </c>
      <c r="D88" s="8" t="s">
        <v>9</v>
      </c>
      <c r="E88" s="25"/>
      <c r="F88" s="25"/>
      <c r="G88" s="25"/>
      <c r="H88" s="25"/>
      <c r="I88" s="25"/>
      <c r="J88" s="25"/>
      <c r="K88" s="25"/>
      <c r="L88" s="25"/>
      <c r="M88" s="25">
        <f>1000000+1500000</f>
        <v>2500000</v>
      </c>
      <c r="N88" s="25"/>
      <c r="O88" s="25"/>
    </row>
    <row r="89" spans="2:15" x14ac:dyDescent="0.25">
      <c r="B89" s="7">
        <v>86</v>
      </c>
      <c r="C89" s="8" t="s">
        <v>157</v>
      </c>
      <c r="D89" s="8" t="s">
        <v>10</v>
      </c>
      <c r="E89" s="29">
        <f>2.058+0.394+0.2+18.73</f>
        <v>21.382000000000001</v>
      </c>
      <c r="F89" s="29"/>
      <c r="G89" s="29">
        <f>0.2+0.1+0.075</f>
        <v>0.37500000000000006</v>
      </c>
      <c r="H89" s="29"/>
      <c r="I89" s="29"/>
      <c r="J89" s="29"/>
      <c r="K89" s="29"/>
      <c r="L89" s="29"/>
      <c r="M89" s="29"/>
      <c r="N89" s="29"/>
      <c r="O89" s="29"/>
    </row>
    <row r="90" spans="2:15" x14ac:dyDescent="0.25">
      <c r="B90" s="7">
        <v>87</v>
      </c>
      <c r="C90" s="8" t="s">
        <v>159</v>
      </c>
      <c r="D90" s="8" t="s">
        <v>8</v>
      </c>
      <c r="E90" s="25"/>
      <c r="F90" s="25"/>
      <c r="G90" s="25">
        <v>8</v>
      </c>
      <c r="H90" s="25"/>
      <c r="I90" s="25"/>
      <c r="J90" s="25"/>
      <c r="K90" s="25"/>
      <c r="L90" s="25"/>
      <c r="M90" s="25"/>
      <c r="N90" s="25"/>
      <c r="O90" s="25"/>
    </row>
    <row r="91" spans="2:15" x14ac:dyDescent="0.25">
      <c r="B91" s="7">
        <v>88</v>
      </c>
      <c r="C91" s="8" t="s">
        <v>160</v>
      </c>
      <c r="D91" s="8" t="s">
        <v>8</v>
      </c>
      <c r="E91" s="25"/>
      <c r="F91" s="25"/>
      <c r="G91" s="25">
        <v>7</v>
      </c>
      <c r="H91" s="25"/>
      <c r="I91" s="25"/>
      <c r="J91" s="25"/>
      <c r="K91" s="25"/>
      <c r="L91" s="25"/>
      <c r="M91" s="25"/>
      <c r="N91" s="25"/>
      <c r="O91" s="25"/>
    </row>
    <row r="92" spans="2:15" x14ac:dyDescent="0.25">
      <c r="B92" s="7">
        <v>89</v>
      </c>
      <c r="C92" s="8" t="s">
        <v>161</v>
      </c>
      <c r="D92" s="8" t="s">
        <v>9</v>
      </c>
      <c r="E92" s="25"/>
      <c r="F92" s="25"/>
      <c r="G92" s="25">
        <v>200</v>
      </c>
      <c r="H92" s="25">
        <f>9140+4350+170</f>
        <v>13660</v>
      </c>
      <c r="I92" s="25"/>
      <c r="J92" s="25"/>
      <c r="K92" s="25"/>
      <c r="L92" s="25"/>
      <c r="M92" s="25">
        <v>688</v>
      </c>
      <c r="N92" s="25"/>
      <c r="O92" s="25"/>
    </row>
    <row r="93" spans="2:15" x14ac:dyDescent="0.25">
      <c r="B93" s="7">
        <v>90</v>
      </c>
      <c r="C93" s="8" t="s">
        <v>162</v>
      </c>
      <c r="D93" s="8" t="s">
        <v>8</v>
      </c>
      <c r="E93" s="25"/>
      <c r="F93" s="25"/>
      <c r="G93" s="25"/>
      <c r="H93" s="25"/>
      <c r="I93" s="25"/>
      <c r="J93" s="25"/>
      <c r="K93" s="25"/>
      <c r="L93" s="25"/>
      <c r="M93" s="25"/>
      <c r="N93" s="25">
        <f>950+1100+1200</f>
        <v>3250</v>
      </c>
      <c r="O93" s="25"/>
    </row>
    <row r="94" spans="2:15" x14ac:dyDescent="0.25">
      <c r="B94" s="7">
        <v>91</v>
      </c>
      <c r="C94" s="8" t="s">
        <v>163</v>
      </c>
      <c r="D94" s="8" t="s">
        <v>8</v>
      </c>
      <c r="E94" s="25">
        <v>1000</v>
      </c>
      <c r="F94" s="25"/>
      <c r="G94" s="25"/>
      <c r="H94" s="25">
        <f>1980+5100+4000+3000</f>
        <v>14080</v>
      </c>
      <c r="I94" s="25"/>
      <c r="J94" s="25"/>
      <c r="K94" s="25"/>
      <c r="L94" s="25"/>
      <c r="M94" s="25"/>
      <c r="N94" s="25"/>
      <c r="O94" s="25"/>
    </row>
    <row r="95" spans="2:15" x14ac:dyDescent="0.25">
      <c r="B95" s="7">
        <v>92</v>
      </c>
      <c r="C95" s="8" t="s">
        <v>172</v>
      </c>
      <c r="D95" s="8" t="s">
        <v>9</v>
      </c>
      <c r="E95" s="25">
        <f>50+400</f>
        <v>450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2:15" x14ac:dyDescent="0.25">
      <c r="B96" s="7">
        <v>93</v>
      </c>
      <c r="C96" s="8" t="s">
        <v>169</v>
      </c>
      <c r="D96" s="8" t="s">
        <v>10</v>
      </c>
      <c r="E96" s="29"/>
      <c r="F96" s="29"/>
      <c r="G96" s="29"/>
      <c r="H96" s="29"/>
      <c r="I96" s="29"/>
      <c r="J96" s="29"/>
      <c r="K96" s="29"/>
      <c r="L96" s="29"/>
      <c r="M96" s="29"/>
      <c r="N96" s="29">
        <v>1.5</v>
      </c>
      <c r="O96" s="29"/>
    </row>
    <row r="97" spans="2:15" x14ac:dyDescent="0.25">
      <c r="B97" s="7">
        <v>94</v>
      </c>
      <c r="C97" s="8" t="s">
        <v>174</v>
      </c>
      <c r="D97" s="8" t="s">
        <v>10</v>
      </c>
      <c r="E97" s="29">
        <v>2.524</v>
      </c>
      <c r="F97" s="29"/>
      <c r="G97" s="29">
        <v>75</v>
      </c>
      <c r="H97" s="29"/>
      <c r="I97" s="29"/>
      <c r="J97" s="29"/>
      <c r="K97" s="29"/>
      <c r="L97" s="29"/>
      <c r="M97" s="29"/>
      <c r="N97" s="29"/>
      <c r="O97" s="29"/>
    </row>
    <row r="98" spans="2:15" x14ac:dyDescent="0.25">
      <c r="B98" s="7">
        <v>95</v>
      </c>
      <c r="C98" s="8" t="s">
        <v>175</v>
      </c>
      <c r="D98" s="8" t="s">
        <v>10</v>
      </c>
      <c r="E98" s="29"/>
      <c r="F98" s="29">
        <f>0.031+0.033+1.937</f>
        <v>2.0009999999999999</v>
      </c>
      <c r="G98" s="29"/>
      <c r="H98" s="29"/>
      <c r="I98" s="29"/>
      <c r="J98" s="29"/>
      <c r="K98" s="29"/>
      <c r="L98" s="29"/>
      <c r="M98" s="29"/>
      <c r="N98" s="29"/>
      <c r="O98" s="29"/>
    </row>
    <row r="99" spans="2:15" x14ac:dyDescent="0.25">
      <c r="B99" s="7">
        <v>96</v>
      </c>
      <c r="C99" s="8" t="s">
        <v>181</v>
      </c>
      <c r="D99" s="8" t="s">
        <v>8</v>
      </c>
      <c r="E99" s="25"/>
      <c r="F99" s="25"/>
      <c r="G99" s="25">
        <v>12</v>
      </c>
      <c r="H99" s="25">
        <f>15+13</f>
        <v>28</v>
      </c>
      <c r="I99" s="25"/>
      <c r="J99" s="25"/>
      <c r="K99" s="25"/>
      <c r="L99" s="25"/>
      <c r="M99" s="25"/>
      <c r="N99" s="25"/>
      <c r="O99" s="25"/>
    </row>
    <row r="100" spans="2:15" x14ac:dyDescent="0.25">
      <c r="B100" s="7">
        <v>97</v>
      </c>
      <c r="C100" s="8" t="s">
        <v>182</v>
      </c>
      <c r="D100" s="8" t="s">
        <v>8</v>
      </c>
      <c r="E100" s="25"/>
      <c r="F100" s="25"/>
      <c r="G100" s="25"/>
      <c r="H100" s="25">
        <f>600+2100+1800</f>
        <v>4500</v>
      </c>
      <c r="I100" s="25"/>
      <c r="J100" s="25"/>
      <c r="K100" s="25"/>
      <c r="L100" s="25"/>
      <c r="M100" s="25">
        <v>120</v>
      </c>
      <c r="N100" s="25"/>
      <c r="O100" s="25"/>
    </row>
    <row r="101" spans="2:15" x14ac:dyDescent="0.25">
      <c r="B101" s="7">
        <v>98</v>
      </c>
      <c r="C101" s="8" t="s">
        <v>194</v>
      </c>
      <c r="D101" s="8" t="s">
        <v>10</v>
      </c>
      <c r="E101" s="29">
        <v>18.600000000000001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2:15" x14ac:dyDescent="0.25">
      <c r="B102" s="7">
        <v>99</v>
      </c>
      <c r="C102" s="8" t="s">
        <v>195</v>
      </c>
      <c r="D102" s="8" t="s">
        <v>10</v>
      </c>
      <c r="E102" s="29"/>
      <c r="F102" s="29">
        <v>1</v>
      </c>
      <c r="G102" s="29"/>
      <c r="H102" s="29"/>
      <c r="I102" s="29"/>
      <c r="J102" s="29"/>
      <c r="K102" s="29"/>
      <c r="L102" s="29"/>
      <c r="M102" s="29"/>
      <c r="N102" s="29">
        <v>0.112</v>
      </c>
      <c r="O102" s="29"/>
    </row>
    <row r="103" spans="2:15" x14ac:dyDescent="0.25">
      <c r="B103" s="7">
        <v>100</v>
      </c>
      <c r="C103" s="8" t="s">
        <v>196</v>
      </c>
      <c r="D103" s="8" t="s">
        <v>8</v>
      </c>
      <c r="E103" s="39"/>
      <c r="F103" s="39">
        <v>14</v>
      </c>
      <c r="G103" s="39">
        <v>10</v>
      </c>
      <c r="H103" s="39">
        <v>26</v>
      </c>
      <c r="I103" s="39"/>
      <c r="J103" s="39"/>
      <c r="K103" s="39"/>
      <c r="L103" s="39"/>
      <c r="M103" s="39"/>
      <c r="N103" s="39"/>
      <c r="O103" s="39"/>
    </row>
    <row r="104" spans="2:15" x14ac:dyDescent="0.25">
      <c r="B104" s="7">
        <v>101</v>
      </c>
      <c r="C104" s="8" t="s">
        <v>197</v>
      </c>
      <c r="D104" s="8" t="s">
        <v>8</v>
      </c>
      <c r="E104" s="39"/>
      <c r="F104" s="39"/>
      <c r="G104" s="39">
        <v>8</v>
      </c>
      <c r="H104" s="39">
        <v>21</v>
      </c>
      <c r="I104" s="39"/>
      <c r="J104" s="39"/>
      <c r="K104" s="39"/>
      <c r="L104" s="39"/>
      <c r="M104" s="39"/>
      <c r="N104" s="39"/>
      <c r="O104" s="39"/>
    </row>
  </sheetData>
  <mergeCells count="9">
    <mergeCell ref="B1:O1"/>
    <mergeCell ref="B2:B3"/>
    <mergeCell ref="C2:C3"/>
    <mergeCell ref="D2:D3"/>
    <mergeCell ref="E2:F2"/>
    <mergeCell ref="G2:H2"/>
    <mergeCell ref="I2:J2"/>
    <mergeCell ref="K2:L2"/>
    <mergeCell ref="M2:N2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6"/>
  <sheetViews>
    <sheetView zoomScale="40" zoomScaleNormal="40" workbookViewId="0">
      <pane ySplit="3" topLeftCell="A4" activePane="bottomLeft" state="frozen"/>
      <selection pane="bottomLeft" activeCell="A2" sqref="A2:A3"/>
    </sheetView>
  </sheetViews>
  <sheetFormatPr defaultColWidth="13.28515625" defaultRowHeight="27.75" x14ac:dyDescent="0.4"/>
  <cols>
    <col min="1" max="1" width="8.140625" style="5" customWidth="1"/>
    <col min="2" max="2" width="67" style="6" customWidth="1"/>
    <col min="3" max="3" width="13.28515625" style="4"/>
    <col min="4" max="8" width="19" style="37" bestFit="1" customWidth="1"/>
    <col min="9" max="9" width="21.140625" style="37" bestFit="1" customWidth="1"/>
    <col min="10" max="18" width="21.140625" style="37" customWidth="1"/>
    <col min="19" max="27" width="19" style="37" bestFit="1" customWidth="1"/>
    <col min="28" max="28" width="19" style="37" customWidth="1"/>
    <col min="29" max="36" width="19" style="37" bestFit="1" customWidth="1"/>
    <col min="37" max="37" width="19.85546875" style="37" bestFit="1" customWidth="1"/>
    <col min="38" max="40" width="19" style="37" bestFit="1" customWidth="1"/>
    <col min="41" max="41" width="19.7109375" style="37" bestFit="1" customWidth="1"/>
    <col min="42" max="42" width="14.28515625" style="4" customWidth="1"/>
    <col min="43" max="43" width="21.42578125" style="4" customWidth="1"/>
    <col min="44" max="16384" width="13.28515625" style="4"/>
  </cols>
  <sheetData>
    <row r="1" spans="1:43" s="3" customFormat="1" x14ac:dyDescent="0.4">
      <c r="A1" s="86" t="s">
        <v>202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9"/>
      <c r="AQ1" s="9"/>
    </row>
    <row r="2" spans="1:43" s="3" customFormat="1" ht="150.75" x14ac:dyDescent="0.4">
      <c r="A2" s="83" t="s">
        <v>12</v>
      </c>
      <c r="B2" s="84" t="s">
        <v>0</v>
      </c>
      <c r="C2" s="85" t="s">
        <v>17</v>
      </c>
      <c r="D2" s="65" t="s">
        <v>16</v>
      </c>
      <c r="E2" s="65" t="s">
        <v>15</v>
      </c>
      <c r="F2" s="65" t="s">
        <v>79</v>
      </c>
      <c r="G2" s="65" t="s">
        <v>51</v>
      </c>
      <c r="H2" s="65" t="s">
        <v>52</v>
      </c>
      <c r="I2" s="65" t="s">
        <v>53</v>
      </c>
      <c r="J2" s="65" t="s">
        <v>190</v>
      </c>
      <c r="K2" s="68" t="s">
        <v>147</v>
      </c>
      <c r="L2" s="68" t="s">
        <v>198</v>
      </c>
      <c r="M2" s="65" t="s">
        <v>57</v>
      </c>
      <c r="N2" s="65" t="s">
        <v>191</v>
      </c>
      <c r="O2" s="65" t="s">
        <v>149</v>
      </c>
      <c r="P2" s="65" t="s">
        <v>137</v>
      </c>
      <c r="Q2" s="65" t="s">
        <v>138</v>
      </c>
      <c r="R2" s="65" t="s">
        <v>177</v>
      </c>
      <c r="S2" s="65" t="s">
        <v>21</v>
      </c>
      <c r="T2" s="65" t="s">
        <v>25</v>
      </c>
      <c r="U2" s="65" t="s">
        <v>100</v>
      </c>
      <c r="V2" s="65" t="s">
        <v>101</v>
      </c>
      <c r="W2" s="65" t="s">
        <v>102</v>
      </c>
      <c r="X2" s="65" t="s">
        <v>109</v>
      </c>
      <c r="Y2" s="65" t="s">
        <v>58</v>
      </c>
      <c r="Z2" s="65" t="s">
        <v>46</v>
      </c>
      <c r="AA2" s="65" t="s">
        <v>47</v>
      </c>
      <c r="AB2" s="65" t="s">
        <v>189</v>
      </c>
      <c r="AC2" s="65" t="s">
        <v>165</v>
      </c>
      <c r="AD2" s="65" t="s">
        <v>166</v>
      </c>
      <c r="AE2" s="65" t="s">
        <v>139</v>
      </c>
      <c r="AF2" s="65" t="s">
        <v>117</v>
      </c>
      <c r="AG2" s="65" t="s">
        <v>132</v>
      </c>
      <c r="AH2" s="65" t="s">
        <v>135</v>
      </c>
      <c r="AI2" s="65" t="s">
        <v>171</v>
      </c>
      <c r="AJ2" s="65" t="s">
        <v>143</v>
      </c>
      <c r="AK2" s="65" t="s">
        <v>144</v>
      </c>
      <c r="AL2" s="65" t="s">
        <v>133</v>
      </c>
      <c r="AM2" s="65" t="s">
        <v>134</v>
      </c>
      <c r="AN2" s="65" t="s">
        <v>114</v>
      </c>
      <c r="AO2" s="87" t="s">
        <v>118</v>
      </c>
    </row>
    <row r="3" spans="1:43" s="3" customFormat="1" ht="51" x14ac:dyDescent="0.4">
      <c r="A3" s="83"/>
      <c r="B3" s="84"/>
      <c r="C3" s="85"/>
      <c r="D3" s="65" t="s">
        <v>6</v>
      </c>
      <c r="E3" s="65" t="s">
        <v>6</v>
      </c>
      <c r="F3" s="65" t="s">
        <v>6</v>
      </c>
      <c r="G3" s="65" t="s">
        <v>6</v>
      </c>
      <c r="H3" s="65" t="s">
        <v>6</v>
      </c>
      <c r="I3" s="65" t="s">
        <v>6</v>
      </c>
      <c r="J3" s="65" t="s">
        <v>6</v>
      </c>
      <c r="K3" s="68" t="s">
        <v>6</v>
      </c>
      <c r="L3" s="68" t="s">
        <v>6</v>
      </c>
      <c r="M3" s="65" t="s">
        <v>6</v>
      </c>
      <c r="N3" s="65" t="s">
        <v>6</v>
      </c>
      <c r="O3" s="65" t="s">
        <v>6</v>
      </c>
      <c r="P3" s="65" t="s">
        <v>6</v>
      </c>
      <c r="Q3" s="65" t="s">
        <v>6</v>
      </c>
      <c r="R3" s="65" t="s">
        <v>6</v>
      </c>
      <c r="S3" s="65" t="s">
        <v>6</v>
      </c>
      <c r="T3" s="65" t="s">
        <v>6</v>
      </c>
      <c r="U3" s="65" t="s">
        <v>6</v>
      </c>
      <c r="V3" s="65" t="s">
        <v>6</v>
      </c>
      <c r="W3" s="65" t="s">
        <v>6</v>
      </c>
      <c r="X3" s="65" t="s">
        <v>6</v>
      </c>
      <c r="Y3" s="65" t="s">
        <v>6</v>
      </c>
      <c r="Z3" s="65" t="s">
        <v>6</v>
      </c>
      <c r="AA3" s="65" t="s">
        <v>6</v>
      </c>
      <c r="AB3" s="65" t="s">
        <v>6</v>
      </c>
      <c r="AC3" s="65" t="s">
        <v>6</v>
      </c>
      <c r="AD3" s="65" t="s">
        <v>6</v>
      </c>
      <c r="AE3" s="65" t="s">
        <v>6</v>
      </c>
      <c r="AF3" s="65" t="s">
        <v>6</v>
      </c>
      <c r="AG3" s="65" t="s">
        <v>6</v>
      </c>
      <c r="AH3" s="65" t="s">
        <v>6</v>
      </c>
      <c r="AI3" s="65" t="s">
        <v>6</v>
      </c>
      <c r="AJ3" s="65" t="s">
        <v>6</v>
      </c>
      <c r="AK3" s="65" t="s">
        <v>6</v>
      </c>
      <c r="AL3" s="65" t="s">
        <v>6</v>
      </c>
      <c r="AM3" s="65" t="s">
        <v>6</v>
      </c>
      <c r="AN3" s="65" t="s">
        <v>6</v>
      </c>
      <c r="AO3" s="87"/>
    </row>
    <row r="4" spans="1:43" s="3" customFormat="1" x14ac:dyDescent="0.4">
      <c r="A4" s="10">
        <v>1</v>
      </c>
      <c r="B4" s="11" t="s">
        <v>85</v>
      </c>
      <c r="C4" s="12" t="s">
        <v>8</v>
      </c>
      <c r="D4" s="30"/>
      <c r="E4" s="30">
        <f>5+1</f>
        <v>6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>
        <v>7</v>
      </c>
      <c r="Z4" s="30">
        <f>38+83+53+146+45+126+60+70+84</f>
        <v>705</v>
      </c>
      <c r="AA4" s="30">
        <f>4+9+5</f>
        <v>18</v>
      </c>
      <c r="AB4" s="30"/>
      <c r="AC4" s="30"/>
      <c r="AD4" s="30"/>
      <c r="AE4" s="30"/>
      <c r="AF4" s="30"/>
      <c r="AG4" s="30"/>
      <c r="AH4" s="30">
        <f>103+48+100+192</f>
        <v>443</v>
      </c>
      <c r="AI4" s="30"/>
      <c r="AJ4" s="30"/>
      <c r="AK4" s="30"/>
      <c r="AL4" s="30"/>
      <c r="AM4" s="30"/>
      <c r="AN4" s="30"/>
      <c r="AO4" s="31">
        <f>SUM(D4:AN4)</f>
        <v>1179</v>
      </c>
    </row>
    <row r="5" spans="1:43" s="3" customFormat="1" x14ac:dyDescent="0.4">
      <c r="A5" s="10">
        <v>2</v>
      </c>
      <c r="B5" s="11" t="s">
        <v>13</v>
      </c>
      <c r="C5" s="12" t="s">
        <v>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>
        <v>63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1">
        <f>SUM(D5:AN5)</f>
        <v>63</v>
      </c>
    </row>
    <row r="6" spans="1:43" s="3" customFormat="1" x14ac:dyDescent="0.4">
      <c r="A6" s="10">
        <v>3</v>
      </c>
      <c r="B6" s="11" t="s">
        <v>22</v>
      </c>
      <c r="C6" s="12" t="s">
        <v>10</v>
      </c>
      <c r="D6" s="32">
        <f>72+2616+2304+4133.5+3960.6+4440+6521.908+5661.41+5495.9+5467.6</f>
        <v>40672.917999999998</v>
      </c>
      <c r="E6" s="32"/>
      <c r="F6" s="32">
        <f>152.419+274.974+820.907+1012.515+827.836+826.177+475.819+165.243+131.502+111.945</f>
        <v>4799.3370000000004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>
        <v>180</v>
      </c>
      <c r="Z6" s="32"/>
      <c r="AA6" s="32">
        <f>144.9+227.7+163.304+186.3+351.9+372.6+310.5+351.9+517.5</f>
        <v>2626.6039999999998</v>
      </c>
      <c r="AB6" s="32"/>
      <c r="AC6" s="32"/>
      <c r="AD6" s="32"/>
      <c r="AE6" s="32"/>
      <c r="AF6" s="32"/>
      <c r="AG6" s="32">
        <f>39.2+39.68+40.8+40.8</f>
        <v>160.47999999999999</v>
      </c>
      <c r="AH6" s="32"/>
      <c r="AI6" s="32"/>
      <c r="AJ6" s="32"/>
      <c r="AK6" s="32"/>
      <c r="AL6" s="32"/>
      <c r="AM6" s="32">
        <f>19.632+20.7+20.7+331.2</f>
        <v>392.23199999999997</v>
      </c>
      <c r="AN6" s="32"/>
      <c r="AO6" s="33">
        <f t="shared" ref="AO6:AO46" si="0">SUM(D6:AN6)</f>
        <v>48831.570999999996</v>
      </c>
    </row>
    <row r="7" spans="1:43" s="3" customFormat="1" x14ac:dyDescent="0.4">
      <c r="A7" s="10">
        <v>4</v>
      </c>
      <c r="B7" s="11" t="s">
        <v>23</v>
      </c>
      <c r="C7" s="12" t="s">
        <v>10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f>20+20</f>
        <v>40</v>
      </c>
      <c r="T7" s="32">
        <f>63+105+125+127+126+103+42+84</f>
        <v>775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3">
        <f t="shared" si="0"/>
        <v>815</v>
      </c>
    </row>
    <row r="8" spans="1:43" s="3" customFormat="1" x14ac:dyDescent="0.4">
      <c r="A8" s="10">
        <v>5</v>
      </c>
      <c r="B8" s="11" t="s">
        <v>24</v>
      </c>
      <c r="C8" s="12" t="s">
        <v>10</v>
      </c>
      <c r="D8" s="34">
        <f>28+82.7+45.2+27.4+107.2+87+82</f>
        <v>459.5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>
        <v>65</v>
      </c>
      <c r="Q8" s="32"/>
      <c r="R8" s="32"/>
      <c r="S8" s="32">
        <f>44.5+66+22+66+0.03+66+22+22+44+44</f>
        <v>396.53</v>
      </c>
      <c r="T8" s="32"/>
      <c r="U8" s="32"/>
      <c r="V8" s="32"/>
      <c r="W8" s="32">
        <f>20.55+65.5+20</f>
        <v>106.05</v>
      </c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3">
        <f t="shared" si="0"/>
        <v>1027.08</v>
      </c>
    </row>
    <row r="9" spans="1:43" s="3" customFormat="1" ht="52.5" x14ac:dyDescent="0.4">
      <c r="A9" s="10">
        <v>6</v>
      </c>
      <c r="B9" s="11" t="s">
        <v>30</v>
      </c>
      <c r="C9" s="12" t="s">
        <v>10</v>
      </c>
      <c r="D9" s="32">
        <f>24+18+25.74+8</f>
        <v>75.739999999999995</v>
      </c>
      <c r="E9" s="32">
        <v>0.4</v>
      </c>
      <c r="F9" s="32"/>
      <c r="G9" s="32"/>
      <c r="H9" s="32"/>
      <c r="I9" s="32">
        <f>31.89+34.223+18.928+88.502+75.51</f>
        <v>249.053</v>
      </c>
      <c r="J9" s="32"/>
      <c r="K9" s="32"/>
      <c r="L9" s="32">
        <v>18.638000000000002</v>
      </c>
      <c r="M9" s="32"/>
      <c r="N9" s="32"/>
      <c r="O9" s="32"/>
      <c r="P9" s="32"/>
      <c r="Q9" s="32"/>
      <c r="R9" s="32"/>
      <c r="S9" s="32">
        <f>18.64+18.32</f>
        <v>36.96</v>
      </c>
      <c r="T9" s="32"/>
      <c r="U9" s="32"/>
      <c r="V9" s="32"/>
      <c r="W9" s="32"/>
      <c r="X9" s="32"/>
      <c r="Y9" s="32"/>
      <c r="Z9" s="32"/>
      <c r="AA9" s="32">
        <f>20.4+155.078+112.929+119.052+36.891+38.12+39.24+59.252+58.001</f>
        <v>638.96299999999997</v>
      </c>
      <c r="AB9" s="32"/>
      <c r="AC9" s="32"/>
      <c r="AD9" s="32"/>
      <c r="AE9" s="32"/>
      <c r="AF9" s="32"/>
      <c r="AG9" s="32"/>
      <c r="AH9" s="32"/>
      <c r="AI9" s="32"/>
      <c r="AJ9" s="32">
        <f>17.41+18.474+18.473+18.366+18.418</f>
        <v>91.140999999999991</v>
      </c>
      <c r="AK9" s="32"/>
      <c r="AL9" s="32">
        <f>19.14+19.14</f>
        <v>38.28</v>
      </c>
      <c r="AM9" s="32"/>
      <c r="AN9" s="32">
        <v>19.5</v>
      </c>
      <c r="AO9" s="33">
        <f t="shared" si="0"/>
        <v>1168.675</v>
      </c>
    </row>
    <row r="10" spans="1:43" s="3" customFormat="1" x14ac:dyDescent="0.4">
      <c r="A10" s="10">
        <v>7</v>
      </c>
      <c r="B10" s="11" t="s">
        <v>40</v>
      </c>
      <c r="C10" s="12" t="s">
        <v>10</v>
      </c>
      <c r="D10" s="32">
        <f>26.5+83.94+55+56+56</f>
        <v>277.44</v>
      </c>
      <c r="E10" s="32"/>
      <c r="F10" s="32"/>
      <c r="G10" s="32">
        <f>41.9+46.3+65.425+42.35+61.725+41.9+42.325</f>
        <v>341.92499999999995</v>
      </c>
      <c r="H10" s="32">
        <v>11</v>
      </c>
      <c r="I10" s="32"/>
      <c r="J10" s="32"/>
      <c r="K10" s="32"/>
      <c r="L10" s="32"/>
      <c r="M10" s="32"/>
      <c r="N10" s="32"/>
      <c r="O10" s="32"/>
      <c r="P10" s="32"/>
      <c r="Q10" s="32">
        <f>43+64.5</f>
        <v>107.5</v>
      </c>
      <c r="R10" s="32">
        <f>43+43+66</f>
        <v>152</v>
      </c>
      <c r="S10" s="32">
        <f>22+22.5+109.8+66.5+66.5+22.5+110.5+199.65</f>
        <v>619.95000000000005</v>
      </c>
      <c r="T10" s="32">
        <f>22.8+21+23+45.2+22.9+45.9</f>
        <v>180.8</v>
      </c>
      <c r="U10" s="32"/>
      <c r="V10" s="32"/>
      <c r="W10" s="32"/>
      <c r="X10" s="32"/>
      <c r="Y10" s="32"/>
      <c r="Z10" s="32">
        <f>195+382.51+380.02+380.01+572.5+312.5+632.5+885</f>
        <v>3740.04</v>
      </c>
      <c r="AA10" s="32"/>
      <c r="AB10" s="32"/>
      <c r="AC10" s="32">
        <f>64.3+63+63+252+63</f>
        <v>505.3</v>
      </c>
      <c r="AD10" s="32"/>
      <c r="AE10" s="32"/>
      <c r="AF10" s="32"/>
      <c r="AG10" s="32"/>
      <c r="AH10" s="32"/>
      <c r="AI10" s="32">
        <v>0.20699999999999999</v>
      </c>
      <c r="AJ10" s="32"/>
      <c r="AK10" s="32"/>
      <c r="AL10" s="32"/>
      <c r="AM10" s="32"/>
      <c r="AN10" s="32"/>
      <c r="AO10" s="33">
        <f t="shared" si="0"/>
        <v>5936.1620000000003</v>
      </c>
    </row>
    <row r="11" spans="1:43" s="3" customFormat="1" x14ac:dyDescent="0.4">
      <c r="A11" s="10">
        <v>8</v>
      </c>
      <c r="B11" s="11" t="s">
        <v>45</v>
      </c>
      <c r="C11" s="12" t="s">
        <v>10</v>
      </c>
      <c r="D11" s="32">
        <f>15.965+10.8+5.262+56+26.165</f>
        <v>114.19200000000001</v>
      </c>
      <c r="E11" s="32"/>
      <c r="F11" s="32"/>
      <c r="G11" s="32"/>
      <c r="H11" s="32">
        <v>2.4359999999999999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>
        <f>0.094+0.286+0.076+0.014+0.476+0.033</f>
        <v>0.97899999999999998</v>
      </c>
      <c r="T11" s="32"/>
      <c r="U11" s="32"/>
      <c r="V11" s="32"/>
      <c r="W11" s="32"/>
      <c r="X11" s="32"/>
      <c r="Y11" s="32"/>
      <c r="Z11" s="32"/>
      <c r="AA11" s="56">
        <v>3.7999999999999999E-2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56">
        <v>3.2000000000000001E-2</v>
      </c>
      <c r="AN11" s="32"/>
      <c r="AO11" s="33">
        <f t="shared" si="0"/>
        <v>117.67700000000001</v>
      </c>
    </row>
    <row r="12" spans="1:43" s="3" customFormat="1" x14ac:dyDescent="0.4">
      <c r="A12" s="10">
        <v>9</v>
      </c>
      <c r="B12" s="11" t="s">
        <v>39</v>
      </c>
      <c r="C12" s="12" t="s">
        <v>10</v>
      </c>
      <c r="D12" s="32">
        <f>24.508+23.175</f>
        <v>47.683</v>
      </c>
      <c r="E12" s="32">
        <v>21.6526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>
        <v>22.4</v>
      </c>
      <c r="R12" s="32"/>
      <c r="S12" s="32">
        <f>6.2+21</f>
        <v>27.2</v>
      </c>
      <c r="T12" s="32"/>
      <c r="U12" s="32"/>
      <c r="V12" s="32"/>
      <c r="W12" s="32">
        <f>22.444+13.533</f>
        <v>35.976999999999997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3">
        <f t="shared" si="0"/>
        <v>154.9126</v>
      </c>
    </row>
    <row r="13" spans="1:43" s="3" customFormat="1" x14ac:dyDescent="0.4">
      <c r="A13" s="10">
        <v>10</v>
      </c>
      <c r="B13" s="11" t="s">
        <v>50</v>
      </c>
      <c r="C13" s="12" t="s">
        <v>9</v>
      </c>
      <c r="D13" s="30"/>
      <c r="E13" s="30">
        <v>150000</v>
      </c>
      <c r="F13" s="30"/>
      <c r="G13" s="30">
        <f>200000+1100000+4500000+1300000+900000+800000+1900000+1400000</f>
        <v>12100000</v>
      </c>
      <c r="H13" s="30">
        <f>2000000+1320000+524000+3340000+770000+1470000+1540000+2260000</f>
        <v>13224000</v>
      </c>
      <c r="I13" s="30">
        <f>4320000+1100000+1250000+4250000+750000+890000+900000</f>
        <v>13460000</v>
      </c>
      <c r="J13" s="30">
        <f>400000+2100000</f>
        <v>2500000</v>
      </c>
      <c r="K13" s="30"/>
      <c r="L13" s="30"/>
      <c r="M13" s="30"/>
      <c r="N13" s="30"/>
      <c r="O13" s="30"/>
      <c r="P13" s="30"/>
      <c r="Q13" s="30"/>
      <c r="R13" s="30"/>
      <c r="S13" s="30">
        <f>380000+240000+280000+400000+300000+300000+450000+250000</f>
        <v>2600000</v>
      </c>
      <c r="T13" s="30"/>
      <c r="U13" s="30"/>
      <c r="V13" s="30"/>
      <c r="W13" s="30"/>
      <c r="X13" s="30"/>
      <c r="Y13" s="30">
        <f>650000+400000+250000+250000+650000+600000+1300000</f>
        <v>4100000</v>
      </c>
      <c r="Z13" s="30">
        <v>2400000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>
        <v>800000</v>
      </c>
      <c r="AL13" s="30"/>
      <c r="AM13" s="30"/>
      <c r="AN13" s="30">
        <f>64000+200000+200000+67000+67000+117000+67000+67000+67000+104000</f>
        <v>1020000</v>
      </c>
      <c r="AO13" s="31">
        <f t="shared" si="0"/>
        <v>52354000</v>
      </c>
      <c r="AP13" s="4"/>
    </row>
    <row r="14" spans="1:43" s="3" customFormat="1" ht="52.5" x14ac:dyDescent="0.4">
      <c r="A14" s="10">
        <v>11</v>
      </c>
      <c r="B14" s="11" t="s">
        <v>38</v>
      </c>
      <c r="C14" s="12" t="s">
        <v>10</v>
      </c>
      <c r="D14" s="32"/>
      <c r="E14" s="32"/>
      <c r="F14" s="32">
        <f>21.715+21.598+2+21.721+21.563</f>
        <v>88.597000000000008</v>
      </c>
      <c r="G14" s="32">
        <v>2.75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>
        <f>19.5+20.403+14.4+44.555</f>
        <v>98.858000000000004</v>
      </c>
      <c r="T14" s="32"/>
      <c r="U14" s="32"/>
      <c r="V14" s="32"/>
      <c r="W14" s="32">
        <v>20.276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>
        <v>18.137</v>
      </c>
      <c r="AL14" s="32"/>
      <c r="AM14" s="32"/>
      <c r="AN14" s="32"/>
      <c r="AO14" s="33">
        <f t="shared" si="0"/>
        <v>228.61800000000002</v>
      </c>
      <c r="AP14" s="4"/>
    </row>
    <row r="15" spans="1:43" s="3" customFormat="1" x14ac:dyDescent="0.4">
      <c r="A15" s="10">
        <v>12</v>
      </c>
      <c r="B15" s="11" t="s">
        <v>80</v>
      </c>
      <c r="C15" s="12" t="s">
        <v>9</v>
      </c>
      <c r="D15" s="30"/>
      <c r="E15" s="30">
        <f>177600+172800+115200+171018+66240+74400</f>
        <v>777258</v>
      </c>
      <c r="F15" s="30"/>
      <c r="G15" s="30"/>
      <c r="H15" s="30"/>
      <c r="I15" s="30">
        <v>3000</v>
      </c>
      <c r="J15" s="30"/>
      <c r="K15" s="30"/>
      <c r="L15" s="30"/>
      <c r="M15" s="30"/>
      <c r="N15" s="30"/>
      <c r="O15" s="30"/>
      <c r="P15" s="30"/>
      <c r="Q15" s="30"/>
      <c r="R15" s="30"/>
      <c r="S15" s="30">
        <f>711000+418680+604800+581400+945720+642960+602640+233280+233280</f>
        <v>4973760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>
        <f>8000+12000+29000+5000</f>
        <v>54000</v>
      </c>
      <c r="AL15" s="30"/>
      <c r="AM15" s="30"/>
      <c r="AN15" s="30"/>
      <c r="AO15" s="31">
        <f t="shared" si="0"/>
        <v>5808018</v>
      </c>
      <c r="AP15" s="4"/>
    </row>
    <row r="16" spans="1:43" s="3" customFormat="1" x14ac:dyDescent="0.4">
      <c r="A16" s="10">
        <v>13</v>
      </c>
      <c r="B16" s="15" t="s">
        <v>84</v>
      </c>
      <c r="C16" s="16" t="s">
        <v>10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>
        <f>28.018+20.5</f>
        <v>48.518000000000001</v>
      </c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3">
        <f t="shared" si="0"/>
        <v>48.518000000000001</v>
      </c>
      <c r="AP16" s="4"/>
      <c r="AQ16" s="4"/>
    </row>
    <row r="17" spans="1:43" s="3" customFormat="1" x14ac:dyDescent="0.4">
      <c r="A17" s="10">
        <v>14</v>
      </c>
      <c r="B17" s="14" t="s">
        <v>78</v>
      </c>
      <c r="C17" s="14" t="s">
        <v>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>
        <f>13355+21000+12300+15650+9410+12180+24140</f>
        <v>108035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1">
        <f t="shared" si="0"/>
        <v>108035</v>
      </c>
      <c r="AP17" s="4"/>
      <c r="AQ17" s="4"/>
    </row>
    <row r="18" spans="1:43" s="3" customFormat="1" x14ac:dyDescent="0.4">
      <c r="A18" s="10">
        <v>15</v>
      </c>
      <c r="B18" s="15" t="s">
        <v>94</v>
      </c>
      <c r="C18" s="16" t="s">
        <v>10</v>
      </c>
      <c r="D18" s="35"/>
      <c r="E18" s="35">
        <f>12.8279+6.26</f>
        <v>19.087899999999998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3">
        <f t="shared" si="0"/>
        <v>19.087899999999998</v>
      </c>
    </row>
    <row r="19" spans="1:43" s="3" customFormat="1" x14ac:dyDescent="0.4">
      <c r="A19" s="10">
        <v>16</v>
      </c>
      <c r="B19" s="15" t="s">
        <v>60</v>
      </c>
      <c r="C19" s="16" t="s">
        <v>10</v>
      </c>
      <c r="D19" s="35"/>
      <c r="E19" s="35"/>
      <c r="F19" s="35">
        <f>20+21</f>
        <v>41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>
        <v>40</v>
      </c>
      <c r="V19" s="35"/>
      <c r="W19" s="44">
        <v>21</v>
      </c>
      <c r="X19" s="35">
        <f>106+22+84+106+44+44+215.988</f>
        <v>621.98800000000006</v>
      </c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>
        <v>0.4</v>
      </c>
      <c r="AL19" s="35"/>
      <c r="AM19" s="35"/>
      <c r="AN19" s="35"/>
      <c r="AO19" s="33">
        <f t="shared" si="0"/>
        <v>724.38800000000003</v>
      </c>
    </row>
    <row r="20" spans="1:43" s="3" customFormat="1" x14ac:dyDescent="0.4">
      <c r="A20" s="10">
        <v>17</v>
      </c>
      <c r="B20" s="15" t="s">
        <v>59</v>
      </c>
      <c r="C20" s="16" t="s">
        <v>10</v>
      </c>
      <c r="D20" s="35"/>
      <c r="E20" s="35">
        <f>20.7+63+21.2+13.4</f>
        <v>118.30000000000001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3">
        <f t="shared" si="0"/>
        <v>118.30000000000001</v>
      </c>
    </row>
    <row r="21" spans="1:43" s="3" customFormat="1" x14ac:dyDescent="0.4">
      <c r="A21" s="10">
        <v>18</v>
      </c>
      <c r="B21" s="15" t="s">
        <v>42</v>
      </c>
      <c r="C21" s="16" t="s">
        <v>10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>
        <f>44+22+44.5+61.5+20.035</f>
        <v>192.035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3">
        <f t="shared" si="0"/>
        <v>192.035</v>
      </c>
    </row>
    <row r="22" spans="1:43" s="3" customFormat="1" x14ac:dyDescent="0.4">
      <c r="A22" s="10">
        <v>19</v>
      </c>
      <c r="B22" s="15" t="s">
        <v>111</v>
      </c>
      <c r="C22" s="16" t="s">
        <v>8</v>
      </c>
      <c r="D22" s="36"/>
      <c r="E22" s="36">
        <v>1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>
        <v>1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1">
        <f t="shared" si="0"/>
        <v>2</v>
      </c>
    </row>
    <row r="23" spans="1:43" s="3" customFormat="1" x14ac:dyDescent="0.4">
      <c r="A23" s="10">
        <v>20</v>
      </c>
      <c r="B23" s="15" t="s">
        <v>115</v>
      </c>
      <c r="C23" s="16" t="s">
        <v>116</v>
      </c>
      <c r="D23" s="36"/>
      <c r="E23" s="36"/>
      <c r="F23" s="36"/>
      <c r="G23" s="36"/>
      <c r="H23" s="36"/>
      <c r="I23" s="36"/>
      <c r="J23" s="36"/>
      <c r="K23" s="36"/>
      <c r="L23" s="36"/>
      <c r="M23" s="36">
        <v>2000</v>
      </c>
      <c r="N23" s="36">
        <v>2200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>
        <f>27758+1416</f>
        <v>29174</v>
      </c>
      <c r="Z23" s="36"/>
      <c r="AA23" s="36"/>
      <c r="AB23" s="36">
        <f>13364+26673+48505</f>
        <v>88542</v>
      </c>
      <c r="AC23" s="36"/>
      <c r="AD23" s="36"/>
      <c r="AE23" s="36"/>
      <c r="AF23" s="36">
        <f>12000+22437+32318</f>
        <v>66755</v>
      </c>
      <c r="AG23" s="36"/>
      <c r="AH23" s="36"/>
      <c r="AI23" s="36"/>
      <c r="AJ23" s="36"/>
      <c r="AK23" s="36"/>
      <c r="AL23" s="36"/>
      <c r="AM23" s="36"/>
      <c r="AN23" s="36"/>
      <c r="AO23" s="31">
        <f t="shared" si="0"/>
        <v>188671</v>
      </c>
    </row>
    <row r="24" spans="1:43" s="3" customFormat="1" x14ac:dyDescent="0.4">
      <c r="A24" s="10">
        <v>21</v>
      </c>
      <c r="B24" s="15" t="s">
        <v>27</v>
      </c>
      <c r="C24" s="16" t="s">
        <v>10</v>
      </c>
      <c r="D24" s="35"/>
      <c r="E24" s="35">
        <f>3.5202+7.1139+0.72+1.003</f>
        <v>12.357100000000001</v>
      </c>
      <c r="F24" s="35">
        <v>19.5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>
        <f>13.299+23.328+46.912+18.158+59.45+15.915+50.046</f>
        <v>227.10799999999998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3">
        <f t="shared" si="0"/>
        <v>258.96510000000001</v>
      </c>
    </row>
    <row r="25" spans="1:43" s="3" customFormat="1" x14ac:dyDescent="0.4">
      <c r="A25" s="10">
        <v>22</v>
      </c>
      <c r="B25" s="15" t="s">
        <v>130</v>
      </c>
      <c r="C25" s="16" t="s">
        <v>10</v>
      </c>
      <c r="D25" s="35">
        <f>25+24+139+93+24+120+120</f>
        <v>545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3">
        <f t="shared" si="0"/>
        <v>545</v>
      </c>
    </row>
    <row r="26" spans="1:43" s="3" customFormat="1" x14ac:dyDescent="0.4">
      <c r="A26" s="10">
        <v>23</v>
      </c>
      <c r="B26" s="15" t="s">
        <v>67</v>
      </c>
      <c r="C26" s="16" t="s">
        <v>8</v>
      </c>
      <c r="D26" s="36"/>
      <c r="E26" s="36">
        <f>40000+20000+24000+45000</f>
        <v>129000</v>
      </c>
      <c r="F26" s="36"/>
      <c r="G26" s="36"/>
      <c r="H26" s="36"/>
      <c r="I26" s="36"/>
      <c r="J26" s="36"/>
      <c r="K26" s="36"/>
      <c r="L26" s="36"/>
      <c r="M26" s="36"/>
      <c r="N26" s="36"/>
      <c r="O26" s="36">
        <v>42120</v>
      </c>
      <c r="P26" s="36"/>
      <c r="Q26" s="36"/>
      <c r="R26" s="36"/>
      <c r="S26" s="36">
        <f>104000+41600</f>
        <v>145600</v>
      </c>
      <c r="T26" s="36"/>
      <c r="U26" s="36">
        <v>15520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1">
        <f t="shared" si="0"/>
        <v>332240</v>
      </c>
    </row>
    <row r="27" spans="1:43" x14ac:dyDescent="0.4">
      <c r="A27" s="10">
        <v>24</v>
      </c>
      <c r="B27" s="15" t="s">
        <v>65</v>
      </c>
      <c r="C27" s="16" t="s">
        <v>10</v>
      </c>
      <c r="D27" s="35"/>
      <c r="E27" s="35">
        <f>17.4+29.6+27.85+33.888+17.9+8.4</f>
        <v>135.03800000000001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>
        <f>11.918+11.934+11.496</f>
        <v>35.347999999999999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3">
        <f t="shared" si="0"/>
        <v>170.38600000000002</v>
      </c>
    </row>
    <row r="28" spans="1:43" x14ac:dyDescent="0.4">
      <c r="A28" s="10">
        <v>25</v>
      </c>
      <c r="B28" s="15" t="s">
        <v>145</v>
      </c>
      <c r="C28" s="16" t="s">
        <v>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>
        <f>1000000+1500000</f>
        <v>2500000</v>
      </c>
      <c r="AL28" s="36"/>
      <c r="AM28" s="36"/>
      <c r="AN28" s="36"/>
      <c r="AO28" s="31">
        <f t="shared" si="0"/>
        <v>2500000</v>
      </c>
    </row>
    <row r="29" spans="1:43" x14ac:dyDescent="0.4">
      <c r="A29" s="10">
        <v>26</v>
      </c>
      <c r="B29" s="15" t="s">
        <v>29</v>
      </c>
      <c r="C29" s="16" t="s">
        <v>10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45">
        <v>2.5000000000000001E-2</v>
      </c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7">
        <f t="shared" si="0"/>
        <v>2.5000000000000001E-2</v>
      </c>
    </row>
    <row r="30" spans="1:43" x14ac:dyDescent="0.4">
      <c r="A30" s="10">
        <v>27</v>
      </c>
      <c r="B30" s="15" t="s">
        <v>158</v>
      </c>
      <c r="C30" s="16" t="s">
        <v>10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>
        <f>5+9.66</f>
        <v>14.66</v>
      </c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3">
        <f t="shared" si="0"/>
        <v>14.66</v>
      </c>
    </row>
    <row r="31" spans="1:43" x14ac:dyDescent="0.4">
      <c r="A31" s="10">
        <v>28</v>
      </c>
      <c r="B31" s="15" t="s">
        <v>31</v>
      </c>
      <c r="C31" s="16" t="s">
        <v>10</v>
      </c>
      <c r="D31" s="35">
        <f>18.012+18.1</f>
        <v>36.112000000000002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3">
        <f t="shared" si="0"/>
        <v>36.112000000000002</v>
      </c>
    </row>
    <row r="32" spans="1:43" x14ac:dyDescent="0.4">
      <c r="A32" s="10">
        <v>29</v>
      </c>
      <c r="B32" s="15" t="s">
        <v>164</v>
      </c>
      <c r="C32" s="16" t="s">
        <v>9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>
        <f>5000</f>
        <v>5000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1">
        <f t="shared" si="0"/>
        <v>5000</v>
      </c>
    </row>
    <row r="33" spans="1:41" x14ac:dyDescent="0.4">
      <c r="A33" s="10">
        <v>30</v>
      </c>
      <c r="B33" s="15" t="s">
        <v>89</v>
      </c>
      <c r="C33" s="16" t="s">
        <v>10</v>
      </c>
      <c r="D33" s="35"/>
      <c r="E33" s="35">
        <v>10.199999999999999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3">
        <f t="shared" si="0"/>
        <v>10.199999999999999</v>
      </c>
    </row>
    <row r="34" spans="1:41" x14ac:dyDescent="0.4">
      <c r="A34" s="10">
        <v>31</v>
      </c>
      <c r="B34" s="15" t="s">
        <v>26</v>
      </c>
      <c r="C34" s="16" t="s">
        <v>10</v>
      </c>
      <c r="D34" s="35"/>
      <c r="E34" s="35"/>
      <c r="F34" s="35">
        <v>18.553999999999998</v>
      </c>
      <c r="G34" s="35">
        <f>0.54764+18.454</f>
        <v>19.001640000000002</v>
      </c>
      <c r="H34" s="35"/>
      <c r="I34" s="35"/>
      <c r="J34" s="35"/>
      <c r="K34" s="35">
        <v>10.433</v>
      </c>
      <c r="L34" s="35"/>
      <c r="M34" s="35"/>
      <c r="N34" s="35"/>
      <c r="O34" s="35"/>
      <c r="P34" s="35"/>
      <c r="Q34" s="35"/>
      <c r="R34" s="35"/>
      <c r="S34" s="35"/>
      <c r="T34" s="35">
        <f>10.849+17.024</f>
        <v>27.873000000000001</v>
      </c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3">
        <f t="shared" si="0"/>
        <v>75.861639999999994</v>
      </c>
    </row>
    <row r="35" spans="1:41" x14ac:dyDescent="0.4">
      <c r="A35" s="10">
        <v>32</v>
      </c>
      <c r="B35" s="15" t="s">
        <v>41</v>
      </c>
      <c r="C35" s="16" t="s">
        <v>10</v>
      </c>
      <c r="D35" s="35">
        <v>5.1100000000000003</v>
      </c>
      <c r="E35" s="35">
        <v>13.9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>
        <f>37.494+18.344</f>
        <v>55.838000000000001</v>
      </c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3">
        <f t="shared" si="0"/>
        <v>74.847999999999999</v>
      </c>
    </row>
    <row r="36" spans="1:41" x14ac:dyDescent="0.4">
      <c r="A36" s="10">
        <v>33</v>
      </c>
      <c r="B36" s="15" t="s">
        <v>161</v>
      </c>
      <c r="C36" s="16" t="s">
        <v>9</v>
      </c>
      <c r="D36" s="36"/>
      <c r="E36" s="36">
        <v>688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1">
        <f t="shared" si="0"/>
        <v>688</v>
      </c>
    </row>
    <row r="37" spans="1:41" x14ac:dyDescent="0.4">
      <c r="A37" s="10">
        <v>34</v>
      </c>
      <c r="B37" s="15" t="s">
        <v>126</v>
      </c>
      <c r="C37" s="16" t="s">
        <v>10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>
        <v>26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3">
        <f t="shared" si="0"/>
        <v>26</v>
      </c>
    </row>
    <row r="38" spans="1:41" x14ac:dyDescent="0.4">
      <c r="A38" s="10">
        <v>35</v>
      </c>
      <c r="B38" s="15" t="s">
        <v>99</v>
      </c>
      <c r="C38" s="16" t="s">
        <v>9</v>
      </c>
      <c r="D38" s="36"/>
      <c r="E38" s="36">
        <v>320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1">
        <f t="shared" si="0"/>
        <v>320</v>
      </c>
    </row>
    <row r="39" spans="1:41" x14ac:dyDescent="0.4">
      <c r="A39" s="10">
        <v>36</v>
      </c>
      <c r="B39" s="15" t="s">
        <v>183</v>
      </c>
      <c r="C39" s="16" t="s">
        <v>10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55"/>
      <c r="AE39" s="55"/>
      <c r="AF39" s="55"/>
      <c r="AG39" s="55"/>
      <c r="AH39" s="55">
        <v>4.0000000000000001E-3</v>
      </c>
      <c r="AI39" s="55"/>
      <c r="AJ39" s="55"/>
      <c r="AK39" s="55"/>
      <c r="AL39" s="55"/>
      <c r="AM39" s="55"/>
      <c r="AN39" s="55"/>
      <c r="AO39" s="53">
        <f t="shared" si="0"/>
        <v>4.0000000000000001E-3</v>
      </c>
    </row>
    <row r="40" spans="1:41" x14ac:dyDescent="0.4">
      <c r="A40" s="10">
        <v>37</v>
      </c>
      <c r="B40" s="15" t="s">
        <v>28</v>
      </c>
      <c r="C40" s="16" t="s">
        <v>10</v>
      </c>
      <c r="D40" s="35">
        <v>2</v>
      </c>
      <c r="E40" s="35"/>
      <c r="F40" s="35">
        <v>4.1130000000000004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53">
        <f t="shared" si="0"/>
        <v>6.1130000000000004</v>
      </c>
    </row>
    <row r="41" spans="1:41" x14ac:dyDescent="0.4">
      <c r="A41" s="10">
        <v>38</v>
      </c>
      <c r="B41" s="15" t="s">
        <v>150</v>
      </c>
      <c r="C41" s="16" t="s">
        <v>10</v>
      </c>
      <c r="D41" s="35"/>
      <c r="E41" s="35">
        <f>24+12+24</f>
        <v>60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53">
        <f t="shared" si="0"/>
        <v>60</v>
      </c>
    </row>
    <row r="42" spans="1:41" x14ac:dyDescent="0.4">
      <c r="A42" s="10">
        <v>39</v>
      </c>
      <c r="B42" s="15" t="s">
        <v>182</v>
      </c>
      <c r="C42" s="16" t="s">
        <v>8</v>
      </c>
      <c r="D42" s="36"/>
      <c r="E42" s="36">
        <v>120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1">
        <f t="shared" si="0"/>
        <v>120</v>
      </c>
    </row>
    <row r="43" spans="1:41" x14ac:dyDescent="0.4">
      <c r="A43" s="10">
        <v>40</v>
      </c>
      <c r="B43" s="15" t="s">
        <v>73</v>
      </c>
      <c r="C43" s="16" t="s">
        <v>10</v>
      </c>
      <c r="D43" s="35"/>
      <c r="E43" s="35">
        <v>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3">
        <f t="shared" si="0"/>
        <v>75</v>
      </c>
    </row>
    <row r="44" spans="1:41" x14ac:dyDescent="0.4">
      <c r="A44" s="10">
        <v>41</v>
      </c>
      <c r="B44" s="15" t="s">
        <v>62</v>
      </c>
      <c r="C44" s="16" t="s">
        <v>10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>
        <v>5.4279999999999999</v>
      </c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3">
        <f t="shared" si="0"/>
        <v>5.4279999999999999</v>
      </c>
    </row>
    <row r="45" spans="1:41" x14ac:dyDescent="0.4">
      <c r="A45" s="10">
        <v>42</v>
      </c>
      <c r="B45" s="15" t="s">
        <v>187</v>
      </c>
      <c r="C45" s="16" t="s">
        <v>10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>
        <v>0.2</v>
      </c>
      <c r="AL45" s="35"/>
      <c r="AM45" s="35"/>
      <c r="AN45" s="35"/>
      <c r="AO45" s="33">
        <f t="shared" si="0"/>
        <v>0.2</v>
      </c>
    </row>
    <row r="46" spans="1:41" x14ac:dyDescent="0.4">
      <c r="A46" s="10">
        <v>43</v>
      </c>
      <c r="B46" s="15" t="s">
        <v>184</v>
      </c>
      <c r="C46" s="16" t="s">
        <v>8</v>
      </c>
      <c r="D46" s="36"/>
      <c r="E46" s="36">
        <v>1305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1">
        <f t="shared" si="0"/>
        <v>1305</v>
      </c>
    </row>
  </sheetData>
  <mergeCells count="5">
    <mergeCell ref="A2:A3"/>
    <mergeCell ref="B2:B3"/>
    <mergeCell ref="C2:C3"/>
    <mergeCell ref="A1:AO1"/>
    <mergeCell ref="AO2:AO3"/>
  </mergeCells>
  <conditionalFormatting sqref="AO4:AO46">
    <cfRule type="duplicateValues" dxfId="19" priority="99"/>
  </conditionalFormatting>
  <conditionalFormatting sqref="AO4:AO39">
    <cfRule type="duplicateValues" dxfId="18" priority="101"/>
  </conditionalFormatting>
  <conditionalFormatting sqref="AO4:AO46">
    <cfRule type="duplicateValues" dxfId="17" priority="105"/>
  </conditionalFormatting>
  <conditionalFormatting sqref="AO4:AO46">
    <cfRule type="duplicateValues" dxfId="16" priority="107"/>
  </conditionalFormatting>
  <conditionalFormatting sqref="D2:AN2">
    <cfRule type="duplicateValues" dxfId="15" priority="1"/>
    <cfRule type="duplicateValues" dxfId="14" priority="108"/>
    <cfRule type="duplicateValues" dxfId="13" priority="109"/>
    <cfRule type="duplicateValues" dxfId="12" priority="110"/>
    <cfRule type="duplicateValues" dxfId="11" priority="111"/>
    <cfRule type="duplicateValues" dxfId="10" priority="112"/>
  </conditionalFormatting>
  <pageMargins left="0.11811023622047245" right="0" top="0" bottom="0.74803149606299213" header="0" footer="0.31496062992125984"/>
  <pageSetup paperSize="9"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8"/>
  <sheetViews>
    <sheetView topLeftCell="Q1" zoomScale="40" zoomScaleNormal="40" workbookViewId="0">
      <pane ySplit="3" topLeftCell="A4" activePane="bottomLeft" state="frozen"/>
      <selection pane="bottomLeft" activeCell="AE9" sqref="AE9"/>
    </sheetView>
  </sheetViews>
  <sheetFormatPr defaultColWidth="13.28515625" defaultRowHeight="27.75" x14ac:dyDescent="0.4"/>
  <cols>
    <col min="1" max="1" width="8.7109375" style="5" customWidth="1"/>
    <col min="2" max="2" width="88.7109375" style="6" customWidth="1"/>
    <col min="3" max="3" width="9.28515625" style="4" customWidth="1"/>
    <col min="4" max="4" width="17.140625" style="37" bestFit="1" customWidth="1"/>
    <col min="5" max="6" width="25.28515625" style="37" customWidth="1"/>
    <col min="7" max="11" width="17.140625" style="37" bestFit="1" customWidth="1"/>
    <col min="12" max="12" width="17.140625" style="37" customWidth="1"/>
    <col min="13" max="14" width="17.140625" style="37" bestFit="1" customWidth="1"/>
    <col min="15" max="18" width="17.140625" style="37" customWidth="1"/>
    <col min="19" max="22" width="17.140625" style="37" bestFit="1" customWidth="1"/>
    <col min="23" max="23" width="17.140625" style="37" customWidth="1"/>
    <col min="24" max="27" width="17.140625" style="37" bestFit="1" customWidth="1"/>
    <col min="28" max="32" width="17.140625" style="37" customWidth="1"/>
    <col min="33" max="36" width="17.140625" style="37" bestFit="1" customWidth="1"/>
    <col min="37" max="39" width="17.140625" style="37" customWidth="1"/>
    <col min="40" max="48" width="17.140625" style="37" bestFit="1" customWidth="1"/>
    <col min="49" max="49" width="17.140625" style="37" customWidth="1"/>
    <col min="50" max="50" width="19.28515625" style="46" bestFit="1" customWidth="1"/>
    <col min="51" max="51" width="13.28515625" style="4"/>
    <col min="52" max="52" width="9.140625" style="4" customWidth="1"/>
    <col min="53" max="53" width="14.28515625" style="4" customWidth="1"/>
    <col min="54" max="54" width="21.42578125" style="4" customWidth="1"/>
    <col min="55" max="16384" width="13.28515625" style="4"/>
  </cols>
  <sheetData>
    <row r="1" spans="1:54" s="3" customFormat="1" x14ac:dyDescent="0.4">
      <c r="A1" s="86" t="s">
        <v>201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9"/>
      <c r="AZ1" s="9"/>
      <c r="BA1" s="9"/>
      <c r="BB1" s="9"/>
    </row>
    <row r="2" spans="1:54" s="3" customFormat="1" ht="201.75" customHeight="1" x14ac:dyDescent="0.4">
      <c r="A2" s="83" t="s">
        <v>12</v>
      </c>
      <c r="B2" s="84" t="s">
        <v>0</v>
      </c>
      <c r="C2" s="85" t="s">
        <v>17</v>
      </c>
      <c r="D2" s="68" t="s">
        <v>16</v>
      </c>
      <c r="E2" s="68" t="s">
        <v>15</v>
      </c>
      <c r="F2" s="68" t="s">
        <v>192</v>
      </c>
      <c r="G2" s="68" t="s">
        <v>21</v>
      </c>
      <c r="H2" s="68" t="s">
        <v>83</v>
      </c>
      <c r="I2" s="68" t="s">
        <v>108</v>
      </c>
      <c r="J2" s="68" t="s">
        <v>110</v>
      </c>
      <c r="K2" s="68" t="s">
        <v>112</v>
      </c>
      <c r="L2" s="68" t="s">
        <v>47</v>
      </c>
      <c r="M2" s="38" t="s">
        <v>81</v>
      </c>
      <c r="N2" s="38" t="s">
        <v>120</v>
      </c>
      <c r="O2" s="38" t="s">
        <v>167</v>
      </c>
      <c r="P2" s="38" t="s">
        <v>168</v>
      </c>
      <c r="Q2" s="38" t="s">
        <v>193</v>
      </c>
      <c r="R2" s="38" t="s">
        <v>79</v>
      </c>
      <c r="S2" s="38" t="s">
        <v>44</v>
      </c>
      <c r="T2" s="38" t="s">
        <v>121</v>
      </c>
      <c r="U2" s="38" t="s">
        <v>122</v>
      </c>
      <c r="V2" s="38" t="s">
        <v>123</v>
      </c>
      <c r="W2" s="38" t="s">
        <v>144</v>
      </c>
      <c r="X2" s="38" t="s">
        <v>53</v>
      </c>
      <c r="Y2" s="38" t="s">
        <v>146</v>
      </c>
      <c r="Z2" s="38" t="s">
        <v>147</v>
      </c>
      <c r="AA2" s="38" t="s">
        <v>149</v>
      </c>
      <c r="AB2" s="38" t="s">
        <v>177</v>
      </c>
      <c r="AC2" s="38" t="s">
        <v>188</v>
      </c>
      <c r="AD2" s="38" t="s">
        <v>166</v>
      </c>
      <c r="AE2" s="38" t="s">
        <v>51</v>
      </c>
      <c r="AF2" s="38" t="s">
        <v>178</v>
      </c>
      <c r="AG2" s="38" t="s">
        <v>102</v>
      </c>
      <c r="AH2" s="38" t="s">
        <v>119</v>
      </c>
      <c r="AI2" s="38" t="s">
        <v>52</v>
      </c>
      <c r="AJ2" s="38" t="s">
        <v>117</v>
      </c>
      <c r="AK2" s="38" t="s">
        <v>199</v>
      </c>
      <c r="AL2" s="38" t="s">
        <v>200</v>
      </c>
      <c r="AM2" s="38" t="s">
        <v>198</v>
      </c>
      <c r="AN2" s="68" t="s">
        <v>55</v>
      </c>
      <c r="AO2" s="68" t="s">
        <v>56</v>
      </c>
      <c r="AP2" s="68" t="s">
        <v>57</v>
      </c>
      <c r="AQ2" s="68" t="s">
        <v>185</v>
      </c>
      <c r="AR2" s="68" t="s">
        <v>135</v>
      </c>
      <c r="AS2" s="68" t="s">
        <v>136</v>
      </c>
      <c r="AT2" s="68" t="s">
        <v>137</v>
      </c>
      <c r="AU2" s="68" t="s">
        <v>138</v>
      </c>
      <c r="AV2" s="68" t="s">
        <v>139</v>
      </c>
      <c r="AW2" s="68" t="s">
        <v>58</v>
      </c>
      <c r="AX2" s="88" t="s">
        <v>118</v>
      </c>
    </row>
    <row r="3" spans="1:54" s="3" customFormat="1" ht="129" customHeight="1" x14ac:dyDescent="0.4">
      <c r="A3" s="83"/>
      <c r="B3" s="84"/>
      <c r="C3" s="85"/>
      <c r="D3" s="68" t="s">
        <v>7</v>
      </c>
      <c r="E3" s="68" t="s">
        <v>7</v>
      </c>
      <c r="F3" s="68" t="s">
        <v>7</v>
      </c>
      <c r="G3" s="68" t="s">
        <v>7</v>
      </c>
      <c r="H3" s="68" t="s">
        <v>7</v>
      </c>
      <c r="I3" s="68" t="s">
        <v>7</v>
      </c>
      <c r="J3" s="68" t="s">
        <v>7</v>
      </c>
      <c r="K3" s="68" t="s">
        <v>7</v>
      </c>
      <c r="L3" s="68" t="s">
        <v>7</v>
      </c>
      <c r="M3" s="68" t="s">
        <v>7</v>
      </c>
      <c r="N3" s="68" t="s">
        <v>7</v>
      </c>
      <c r="O3" s="68" t="s">
        <v>7</v>
      </c>
      <c r="P3" s="68" t="s">
        <v>7</v>
      </c>
      <c r="Q3" s="68" t="s">
        <v>7</v>
      </c>
      <c r="R3" s="68" t="s">
        <v>7</v>
      </c>
      <c r="S3" s="68" t="s">
        <v>7</v>
      </c>
      <c r="T3" s="68" t="s">
        <v>7</v>
      </c>
      <c r="U3" s="68" t="s">
        <v>7</v>
      </c>
      <c r="V3" s="68" t="s">
        <v>7</v>
      </c>
      <c r="W3" s="68" t="s">
        <v>7</v>
      </c>
      <c r="X3" s="68" t="s">
        <v>7</v>
      </c>
      <c r="Y3" s="68" t="s">
        <v>7</v>
      </c>
      <c r="Z3" s="68" t="s">
        <v>7</v>
      </c>
      <c r="AA3" s="68" t="s">
        <v>7</v>
      </c>
      <c r="AB3" s="68" t="s">
        <v>7</v>
      </c>
      <c r="AC3" s="68" t="s">
        <v>7</v>
      </c>
      <c r="AD3" s="68" t="s">
        <v>7</v>
      </c>
      <c r="AE3" s="68" t="s">
        <v>7</v>
      </c>
      <c r="AF3" s="68" t="s">
        <v>7</v>
      </c>
      <c r="AG3" s="68" t="s">
        <v>7</v>
      </c>
      <c r="AH3" s="68" t="s">
        <v>7</v>
      </c>
      <c r="AI3" s="68" t="s">
        <v>7</v>
      </c>
      <c r="AJ3" s="68" t="s">
        <v>7</v>
      </c>
      <c r="AK3" s="68" t="s">
        <v>7</v>
      </c>
      <c r="AL3" s="68" t="s">
        <v>7</v>
      </c>
      <c r="AM3" s="68" t="s">
        <v>7</v>
      </c>
      <c r="AN3" s="68" t="s">
        <v>7</v>
      </c>
      <c r="AO3" s="68" t="s">
        <v>7</v>
      </c>
      <c r="AP3" s="68" t="s">
        <v>7</v>
      </c>
      <c r="AQ3" s="68" t="s">
        <v>7</v>
      </c>
      <c r="AR3" s="68" t="s">
        <v>7</v>
      </c>
      <c r="AS3" s="68" t="s">
        <v>7</v>
      </c>
      <c r="AT3" s="68" t="s">
        <v>7</v>
      </c>
      <c r="AU3" s="68" t="s">
        <v>7</v>
      </c>
      <c r="AV3" s="68" t="s">
        <v>7</v>
      </c>
      <c r="AW3" s="68" t="s">
        <v>7</v>
      </c>
      <c r="AX3" s="88"/>
    </row>
    <row r="4" spans="1:54" s="3" customFormat="1" ht="30.75" customHeight="1" x14ac:dyDescent="0.4">
      <c r="A4" s="10">
        <v>1</v>
      </c>
      <c r="B4" s="11" t="s">
        <v>13</v>
      </c>
      <c r="C4" s="57" t="s">
        <v>8</v>
      </c>
      <c r="D4" s="30"/>
      <c r="E4" s="30">
        <f>52+235+4084+5495+10765+9862+9420+3837</f>
        <v>43750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1">
        <f t="shared" ref="AX4:AX32" si="0">SUM(D4:AW4)</f>
        <v>43750</v>
      </c>
    </row>
    <row r="5" spans="1:54" s="3" customFormat="1" ht="30.75" customHeight="1" x14ac:dyDescent="0.4">
      <c r="A5" s="10">
        <v>2</v>
      </c>
      <c r="B5" s="11" t="s">
        <v>14</v>
      </c>
      <c r="C5" s="57" t="s">
        <v>8</v>
      </c>
      <c r="D5" s="30"/>
      <c r="E5" s="30">
        <f>500+2054+7364+6062+15801+17165</f>
        <v>48946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>
        <f t="shared" si="0"/>
        <v>48946</v>
      </c>
    </row>
    <row r="6" spans="1:54" s="3" customFormat="1" ht="30.75" customHeight="1" x14ac:dyDescent="0.4">
      <c r="A6" s="10">
        <v>3</v>
      </c>
      <c r="B6" s="11" t="s">
        <v>85</v>
      </c>
      <c r="C6" s="57" t="s">
        <v>8</v>
      </c>
      <c r="D6" s="30"/>
      <c r="E6" s="30">
        <f>5+7+804+289+2+83+79</f>
        <v>1269</v>
      </c>
      <c r="F6" s="30"/>
      <c r="G6" s="30"/>
      <c r="H6" s="30"/>
      <c r="I6" s="30">
        <f>10+39</f>
        <v>49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>
        <v>2</v>
      </c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>
        <f>20+20</f>
        <v>40</v>
      </c>
      <c r="AR6" s="30"/>
      <c r="AS6" s="30"/>
      <c r="AT6" s="30"/>
      <c r="AU6" s="30"/>
      <c r="AV6" s="30"/>
      <c r="AW6" s="30"/>
      <c r="AX6" s="31">
        <f t="shared" si="0"/>
        <v>1360</v>
      </c>
    </row>
    <row r="7" spans="1:54" s="3" customFormat="1" ht="26.25" customHeight="1" x14ac:dyDescent="0.4">
      <c r="A7" s="10">
        <v>4</v>
      </c>
      <c r="B7" s="11" t="s">
        <v>82</v>
      </c>
      <c r="C7" s="12" t="s">
        <v>10</v>
      </c>
      <c r="D7" s="32">
        <f>26.15+26.2+2.76</f>
        <v>55.109999999999992</v>
      </c>
      <c r="E7" s="32">
        <f>25.42+25.19+71.25</f>
        <v>121.86</v>
      </c>
      <c r="F7" s="32"/>
      <c r="G7" s="32">
        <f>155.2+132.43+154.2+43.95+1.925</f>
        <v>487.70499999999998</v>
      </c>
      <c r="H7" s="32">
        <f>66+22+1.528+2.5+21.38+2.3+45.36</f>
        <v>161.06799999999998</v>
      </c>
      <c r="I7" s="32"/>
      <c r="J7" s="32"/>
      <c r="K7" s="32"/>
      <c r="L7" s="32"/>
      <c r="M7" s="32"/>
      <c r="N7" s="32"/>
      <c r="O7" s="32"/>
      <c r="P7" s="32"/>
      <c r="Q7" s="32"/>
      <c r="R7" s="32">
        <f>20.13+39.94+40.61</f>
        <v>100.67999999999999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>
        <v>22.2</v>
      </c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3">
        <f t="shared" si="0"/>
        <v>948.62299999999993</v>
      </c>
    </row>
    <row r="8" spans="1:54" s="3" customFormat="1" ht="29.25" customHeight="1" x14ac:dyDescent="0.4">
      <c r="A8" s="10">
        <v>5</v>
      </c>
      <c r="B8" s="11" t="s">
        <v>111</v>
      </c>
      <c r="C8" s="57" t="s">
        <v>8</v>
      </c>
      <c r="D8" s="30"/>
      <c r="E8" s="30">
        <f>1+8</f>
        <v>9</v>
      </c>
      <c r="F8" s="30"/>
      <c r="G8" s="30"/>
      <c r="H8" s="30"/>
      <c r="I8" s="30"/>
      <c r="J8" s="30"/>
      <c r="K8" s="30">
        <v>2</v>
      </c>
      <c r="L8" s="30">
        <v>1</v>
      </c>
      <c r="M8" s="30">
        <v>2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>
        <v>1</v>
      </c>
      <c r="AH8" s="30"/>
      <c r="AI8" s="30"/>
      <c r="AJ8" s="30"/>
      <c r="AK8" s="30"/>
      <c r="AL8" s="30">
        <v>1</v>
      </c>
      <c r="AM8" s="30">
        <v>1</v>
      </c>
      <c r="AN8" s="30"/>
      <c r="AO8" s="30"/>
      <c r="AP8" s="30">
        <v>1</v>
      </c>
      <c r="AQ8" s="30"/>
      <c r="AR8" s="30">
        <v>1</v>
      </c>
      <c r="AS8" s="30"/>
      <c r="AT8" s="30"/>
      <c r="AU8" s="30"/>
      <c r="AV8" s="30"/>
      <c r="AW8" s="30"/>
      <c r="AX8" s="31">
        <f t="shared" si="0"/>
        <v>19</v>
      </c>
    </row>
    <row r="9" spans="1:54" s="3" customFormat="1" ht="29.25" customHeight="1" x14ac:dyDescent="0.4">
      <c r="A9" s="10">
        <v>6</v>
      </c>
      <c r="B9" s="11" t="s">
        <v>36</v>
      </c>
      <c r="C9" s="12" t="s">
        <v>10</v>
      </c>
      <c r="D9" s="32">
        <f>13+1.925+1.035+66.113+24.076</f>
        <v>106.149</v>
      </c>
      <c r="E9" s="32">
        <f>15.118+15</f>
        <v>30.118000000000002</v>
      </c>
      <c r="F9" s="32"/>
      <c r="G9" s="32"/>
      <c r="H9" s="32"/>
      <c r="I9" s="32"/>
      <c r="J9" s="32"/>
      <c r="K9" s="32"/>
      <c r="L9" s="32"/>
      <c r="M9" s="32"/>
      <c r="N9" s="32">
        <f>3.725+1.502+0.358+0.69+0.5+0.5</f>
        <v>7.2750000000000004</v>
      </c>
      <c r="O9" s="32">
        <v>0.504</v>
      </c>
      <c r="P9" s="32">
        <f>0.138+0.16</f>
        <v>0.29800000000000004</v>
      </c>
      <c r="Q9" s="32">
        <v>0.10299999999999999</v>
      </c>
      <c r="R9" s="32"/>
      <c r="S9" s="32">
        <f>0.434+0.104+0.364+1.613+0.304+0.163+9.115+0.26+0.524</f>
        <v>12.881</v>
      </c>
      <c r="T9" s="32">
        <f>2.499+0.554+0.09+0.322</f>
        <v>3.4649999999999999</v>
      </c>
      <c r="U9" s="32">
        <v>1.204</v>
      </c>
      <c r="V9" s="32">
        <v>0.315</v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>
        <v>0.7</v>
      </c>
      <c r="AK9" s="32"/>
      <c r="AL9" s="32"/>
      <c r="AM9" s="32"/>
      <c r="AN9" s="32">
        <f>0.973+0.495+22.611+0.43+2.04+4.446+6.484</f>
        <v>37.478999999999999</v>
      </c>
      <c r="AO9" s="32">
        <f>2.1+2.525+1.8+1.9+1+1+4.825</f>
        <v>15.149999999999999</v>
      </c>
      <c r="AP9" s="32">
        <f>0.99+0.039+2.52+0.04+4.636</f>
        <v>8.2249999999999996</v>
      </c>
      <c r="AQ9" s="32">
        <v>0.09</v>
      </c>
      <c r="AR9" s="32">
        <v>0.224</v>
      </c>
      <c r="AS9" s="32">
        <f>0.52+0.546</f>
        <v>1.0660000000000001</v>
      </c>
      <c r="AT9" s="32">
        <v>2.5000000000000001E-2</v>
      </c>
      <c r="AU9" s="32"/>
      <c r="AV9" s="32"/>
      <c r="AW9" s="32">
        <v>4.1219999999999999</v>
      </c>
      <c r="AX9" s="33">
        <f t="shared" si="0"/>
        <v>229.39299999999997</v>
      </c>
    </row>
    <row r="10" spans="1:54" s="3" customFormat="1" ht="29.25" customHeight="1" x14ac:dyDescent="0.4">
      <c r="A10" s="10">
        <v>7</v>
      </c>
      <c r="B10" s="11" t="s">
        <v>41</v>
      </c>
      <c r="C10" s="12" t="s">
        <v>10</v>
      </c>
      <c r="D10" s="32">
        <f>55.99+28.269+104+77.112+19.078+81.257</f>
        <v>365.70599999999996</v>
      </c>
      <c r="E10" s="32"/>
      <c r="F10" s="32"/>
      <c r="G10" s="32">
        <v>0.56399999999999995</v>
      </c>
      <c r="H10" s="32"/>
      <c r="I10" s="32"/>
      <c r="J10" s="32">
        <v>44.591999999999999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3">
        <f t="shared" si="0"/>
        <v>410.86199999999997</v>
      </c>
      <c r="AY10" s="4"/>
      <c r="AZ10" s="4"/>
      <c r="BA10" s="4"/>
    </row>
    <row r="11" spans="1:54" s="3" customFormat="1" ht="26.25" customHeight="1" x14ac:dyDescent="0.4">
      <c r="A11" s="10">
        <v>8</v>
      </c>
      <c r="B11" s="11" t="s">
        <v>54</v>
      </c>
      <c r="C11" s="57" t="s">
        <v>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>
        <v>1</v>
      </c>
      <c r="O11" s="30"/>
      <c r="P11" s="30"/>
      <c r="Q11" s="30"/>
      <c r="R11" s="30"/>
      <c r="S11" s="30"/>
      <c r="T11" s="30"/>
      <c r="U11" s="30"/>
      <c r="V11" s="30"/>
      <c r="W11" s="30">
        <f>1+4</f>
        <v>5</v>
      </c>
      <c r="X11" s="30">
        <f>1+3</f>
        <v>4</v>
      </c>
      <c r="Y11" s="30">
        <v>1</v>
      </c>
      <c r="Z11" s="30">
        <f>3+3</f>
        <v>6</v>
      </c>
      <c r="AA11" s="30">
        <v>1</v>
      </c>
      <c r="AB11" s="30">
        <v>1</v>
      </c>
      <c r="AC11" s="30">
        <v>2</v>
      </c>
      <c r="AD11" s="30"/>
      <c r="AE11" s="30">
        <f>2+1</f>
        <v>3</v>
      </c>
      <c r="AF11" s="30">
        <f>1+1</f>
        <v>2</v>
      </c>
      <c r="AG11" s="30">
        <v>1</v>
      </c>
      <c r="AH11" s="30">
        <v>2</v>
      </c>
      <c r="AI11" s="30">
        <f>1+6+2+3+1+1</f>
        <v>14</v>
      </c>
      <c r="AJ11" s="30">
        <f>1+2+5+1+1</f>
        <v>10</v>
      </c>
      <c r="AK11" s="30">
        <v>2</v>
      </c>
      <c r="AL11" s="30"/>
      <c r="AM11" s="30"/>
      <c r="AN11" s="30"/>
      <c r="AO11" s="30"/>
      <c r="AP11" s="30"/>
      <c r="AQ11" s="30"/>
      <c r="AR11" s="30"/>
      <c r="AS11" s="30"/>
      <c r="AT11" s="30">
        <f>15+4+9+2+12</f>
        <v>42</v>
      </c>
      <c r="AU11" s="30">
        <f>4+6+2+12+3+2+2+9</f>
        <v>40</v>
      </c>
      <c r="AV11" s="30"/>
      <c r="AW11" s="30">
        <f>7+2+7+5+9+8+18+12</f>
        <v>68</v>
      </c>
      <c r="AX11" s="31">
        <f t="shared" si="0"/>
        <v>205</v>
      </c>
      <c r="AY11" s="4"/>
      <c r="AZ11" s="4"/>
      <c r="BA11" s="4"/>
    </row>
    <row r="12" spans="1:54" s="3" customFormat="1" ht="26.25" customHeight="1" x14ac:dyDescent="0.4">
      <c r="A12" s="10">
        <v>9</v>
      </c>
      <c r="B12" s="11" t="s">
        <v>59</v>
      </c>
      <c r="C12" s="12" t="s">
        <v>10</v>
      </c>
      <c r="D12" s="32"/>
      <c r="E12" s="32"/>
      <c r="F12" s="32"/>
      <c r="G12" s="32">
        <f>21.8+13.1</f>
        <v>34.9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>
        <v>1.335</v>
      </c>
      <c r="AI12" s="32"/>
      <c r="AJ12" s="32">
        <f>1.253+1.48+0.59138+1.9+2.282+0.26094+2</f>
        <v>9.7673199999999998</v>
      </c>
      <c r="AK12" s="32"/>
      <c r="AL12" s="32"/>
      <c r="AM12" s="32"/>
      <c r="AN12" s="32"/>
      <c r="AO12" s="32"/>
      <c r="AP12" s="32">
        <v>0.504</v>
      </c>
      <c r="AQ12" s="32"/>
      <c r="AR12" s="32"/>
      <c r="AS12" s="32"/>
      <c r="AT12" s="32"/>
      <c r="AU12" s="32">
        <f>0.3+2</f>
        <v>2.2999999999999998</v>
      </c>
      <c r="AV12" s="32"/>
      <c r="AW12" s="32">
        <f>0.797+0.681+1.72+3.662+3.3665+2.504+2.078</f>
        <v>14.808499999999999</v>
      </c>
      <c r="AX12" s="33">
        <f t="shared" si="0"/>
        <v>63.614819999999995</v>
      </c>
      <c r="AY12" s="4"/>
      <c r="AZ12" s="4"/>
      <c r="BA12" s="4"/>
    </row>
    <row r="13" spans="1:54" s="3" customFormat="1" ht="27.6" customHeight="1" x14ac:dyDescent="0.4">
      <c r="A13" s="10">
        <v>10</v>
      </c>
      <c r="B13" s="15" t="s">
        <v>103</v>
      </c>
      <c r="C13" s="16" t="s">
        <v>10</v>
      </c>
      <c r="D13" s="35"/>
      <c r="E13" s="35">
        <f>63.535+6.765+69.568+100.165+124.89+99.42061+157.894+154.73+110.949+75.037</f>
        <v>962.95361000000003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>
        <f>15.676+15.924+15.12+15.12</f>
        <v>61.839999999999996</v>
      </c>
      <c r="AX13" s="33">
        <f t="shared" si="0"/>
        <v>1024.7936099999999</v>
      </c>
      <c r="AY13" s="4"/>
      <c r="AZ13" s="4"/>
      <c r="BA13" s="4"/>
      <c r="BB13" s="4"/>
    </row>
    <row r="14" spans="1:54" s="3" customFormat="1" ht="27.75" customHeight="1" x14ac:dyDescent="0.4">
      <c r="A14" s="10">
        <v>11</v>
      </c>
      <c r="B14" s="15" t="s">
        <v>89</v>
      </c>
      <c r="C14" s="16" t="s">
        <v>10</v>
      </c>
      <c r="D14" s="35">
        <v>28.06</v>
      </c>
      <c r="E14" s="35"/>
      <c r="F14" s="35"/>
      <c r="G14" s="35"/>
      <c r="H14" s="35">
        <v>29.41</v>
      </c>
      <c r="I14" s="35"/>
      <c r="J14" s="35"/>
      <c r="K14" s="35"/>
      <c r="L14" s="35"/>
      <c r="M14" s="35">
        <f>146.37+29.2+147.51+29+88.18+109.45+81.06+124.55</f>
        <v>755.31999999999994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3">
        <f t="shared" si="0"/>
        <v>812.79</v>
      </c>
    </row>
    <row r="15" spans="1:54" s="3" customFormat="1" ht="27.75" customHeight="1" x14ac:dyDescent="0.4">
      <c r="A15" s="10">
        <v>12</v>
      </c>
      <c r="B15" s="15" t="s">
        <v>104</v>
      </c>
      <c r="C15" s="16" t="s">
        <v>10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>
        <v>0.53200000000000003</v>
      </c>
      <c r="AO15" s="35"/>
      <c r="AP15" s="35"/>
      <c r="AQ15" s="35"/>
      <c r="AR15" s="35"/>
      <c r="AS15" s="35"/>
      <c r="AT15" s="35"/>
      <c r="AU15" s="35"/>
      <c r="AV15" s="35"/>
      <c r="AW15" s="35"/>
      <c r="AX15" s="33">
        <f t="shared" si="0"/>
        <v>0.53200000000000003</v>
      </c>
    </row>
    <row r="16" spans="1:54" s="3" customFormat="1" ht="27.75" customHeight="1" x14ac:dyDescent="0.4">
      <c r="A16" s="10">
        <v>13</v>
      </c>
      <c r="B16" s="15" t="s">
        <v>95</v>
      </c>
      <c r="C16" s="16" t="s">
        <v>10</v>
      </c>
      <c r="D16" s="35">
        <f>24.06+45.68+98.13+73.31</f>
        <v>241.18</v>
      </c>
      <c r="E16" s="35"/>
      <c r="F16" s="35"/>
      <c r="G16" s="35">
        <f>43.97+418.2+308+308+220+88+110+176+44</f>
        <v>1716.17</v>
      </c>
      <c r="H16" s="35"/>
      <c r="I16" s="35"/>
      <c r="J16" s="35">
        <f>103.45+51.4+51</f>
        <v>205.85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3">
        <f t="shared" si="0"/>
        <v>2163.2000000000003</v>
      </c>
    </row>
    <row r="17" spans="1:52" s="3" customFormat="1" ht="27.75" customHeight="1" x14ac:dyDescent="0.4">
      <c r="A17" s="10">
        <v>14</v>
      </c>
      <c r="B17" s="15" t="s">
        <v>105</v>
      </c>
      <c r="C17" s="16" t="s">
        <v>10</v>
      </c>
      <c r="D17" s="35"/>
      <c r="E17" s="35"/>
      <c r="F17" s="35"/>
      <c r="G17" s="35">
        <f>10.6+14.75+12.64</f>
        <v>37.99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3">
        <f t="shared" si="0"/>
        <v>37.99</v>
      </c>
    </row>
    <row r="18" spans="1:52" s="3" customFormat="1" ht="27.75" customHeight="1" x14ac:dyDescent="0.4">
      <c r="A18" s="10">
        <v>15</v>
      </c>
      <c r="B18" s="15" t="s">
        <v>37</v>
      </c>
      <c r="C18" s="16" t="s">
        <v>10</v>
      </c>
      <c r="D18" s="35"/>
      <c r="E18" s="35">
        <f>2388.4+80.6+1415.32+4359.95+2991.11+1039.5+723.65+3295.36+565.15</f>
        <v>16859.04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3">
        <f t="shared" si="0"/>
        <v>16859.04</v>
      </c>
    </row>
    <row r="19" spans="1:52" s="3" customFormat="1" ht="27.75" customHeight="1" x14ac:dyDescent="0.4">
      <c r="A19" s="10">
        <v>16</v>
      </c>
      <c r="B19" s="15" t="s">
        <v>106</v>
      </c>
      <c r="C19" s="58" t="s">
        <v>9</v>
      </c>
      <c r="D19" s="54">
        <f>1180+6200+7275+6135+6340+6100</f>
        <v>33230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>
        <v>900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1">
        <f t="shared" si="0"/>
        <v>34130</v>
      </c>
    </row>
    <row r="20" spans="1:52" s="3" customFormat="1" ht="27.75" customHeight="1" x14ac:dyDescent="0.4">
      <c r="A20" s="10">
        <v>17</v>
      </c>
      <c r="B20" s="15" t="s">
        <v>107</v>
      </c>
      <c r="C20" s="58" t="s">
        <v>9</v>
      </c>
      <c r="D20" s="36">
        <v>6529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1">
        <f t="shared" si="0"/>
        <v>6529</v>
      </c>
    </row>
    <row r="21" spans="1:52" s="3" customFormat="1" ht="27.75" customHeight="1" x14ac:dyDescent="0.4">
      <c r="A21" s="10">
        <v>18</v>
      </c>
      <c r="B21" s="15" t="s">
        <v>93</v>
      </c>
      <c r="C21" s="16" t="s">
        <v>10</v>
      </c>
      <c r="D21" s="35"/>
      <c r="E21" s="35">
        <f>44+66+22+66+44+22</f>
        <v>264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3">
        <f t="shared" si="0"/>
        <v>264</v>
      </c>
    </row>
    <row r="22" spans="1:52" x14ac:dyDescent="0.4">
      <c r="A22" s="10">
        <v>19</v>
      </c>
      <c r="B22" s="15" t="s">
        <v>30</v>
      </c>
      <c r="C22" s="16" t="s">
        <v>10</v>
      </c>
      <c r="D22" s="35"/>
      <c r="E22" s="35">
        <v>2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3">
        <f t="shared" si="0"/>
        <v>2</v>
      </c>
    </row>
    <row r="23" spans="1:52" ht="27.75" customHeight="1" x14ac:dyDescent="0.4">
      <c r="A23" s="10">
        <v>20</v>
      </c>
      <c r="B23" s="15" t="s">
        <v>88</v>
      </c>
      <c r="C23" s="58" t="s">
        <v>8</v>
      </c>
      <c r="D23" s="36"/>
      <c r="E23" s="36"/>
      <c r="F23" s="36"/>
      <c r="G23" s="36">
        <v>7</v>
      </c>
      <c r="H23" s="36"/>
      <c r="I23" s="36"/>
      <c r="J23" s="36"/>
      <c r="K23" s="36"/>
      <c r="L23" s="36"/>
      <c r="M23" s="36">
        <f>1+1</f>
        <v>2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>
        <v>10</v>
      </c>
      <c r="AX23" s="31">
        <f t="shared" si="0"/>
        <v>19</v>
      </c>
    </row>
    <row r="24" spans="1:52" ht="27.75" customHeight="1" x14ac:dyDescent="0.4">
      <c r="A24" s="10">
        <v>21</v>
      </c>
      <c r="B24" s="15" t="s">
        <v>39</v>
      </c>
      <c r="C24" s="16" t="s">
        <v>10</v>
      </c>
      <c r="D24" s="35"/>
      <c r="E24" s="35">
        <v>17.068000000000001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>
        <v>1</v>
      </c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>
        <v>0.1</v>
      </c>
      <c r="AT24" s="35"/>
      <c r="AU24" s="35"/>
      <c r="AV24" s="35"/>
      <c r="AW24" s="35">
        <v>0.78</v>
      </c>
      <c r="AX24" s="33">
        <f t="shared" si="0"/>
        <v>18.948000000000004</v>
      </c>
    </row>
    <row r="25" spans="1:52" ht="27.75" customHeight="1" x14ac:dyDescent="0.4">
      <c r="A25" s="10">
        <v>22</v>
      </c>
      <c r="B25" s="15" t="s">
        <v>34</v>
      </c>
      <c r="C25" s="16" t="s">
        <v>10</v>
      </c>
      <c r="D25" s="35">
        <v>15.12</v>
      </c>
      <c r="E25" s="35">
        <f>2.264+8+20.037</f>
        <v>30.300999999999998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>
        <f>0.24+0.549</f>
        <v>0.78900000000000003</v>
      </c>
      <c r="AQ25" s="35"/>
      <c r="AR25" s="35"/>
      <c r="AS25" s="35"/>
      <c r="AT25" s="35"/>
      <c r="AU25" s="35"/>
      <c r="AV25" s="35"/>
      <c r="AW25" s="35"/>
      <c r="AX25" s="33">
        <f t="shared" si="0"/>
        <v>46.21</v>
      </c>
    </row>
    <row r="26" spans="1:52" ht="27.75" customHeight="1" x14ac:dyDescent="0.4">
      <c r="A26" s="10">
        <v>23</v>
      </c>
      <c r="B26" s="15" t="s">
        <v>140</v>
      </c>
      <c r="C26" s="16" t="s">
        <v>10</v>
      </c>
      <c r="D26" s="35"/>
      <c r="E26" s="35">
        <v>40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>
        <v>17.625</v>
      </c>
      <c r="AW26" s="35"/>
      <c r="AX26" s="33">
        <f t="shared" si="0"/>
        <v>57.625</v>
      </c>
    </row>
    <row r="27" spans="1:52" ht="27.75" customHeight="1" x14ac:dyDescent="0.4">
      <c r="A27" s="10">
        <v>24</v>
      </c>
      <c r="B27" s="15" t="s">
        <v>38</v>
      </c>
      <c r="C27" s="16" t="s">
        <v>10</v>
      </c>
      <c r="D27" s="35"/>
      <c r="E27" s="35">
        <v>51.695999999999998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>
        <v>18.111999999999998</v>
      </c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3">
        <f t="shared" si="0"/>
        <v>69.807999999999993</v>
      </c>
    </row>
    <row r="28" spans="1:52" ht="27.75" customHeight="1" x14ac:dyDescent="0.4">
      <c r="A28" s="10">
        <v>25</v>
      </c>
      <c r="B28" s="15" t="s">
        <v>23</v>
      </c>
      <c r="C28" s="16" t="s">
        <v>10</v>
      </c>
      <c r="D28" s="35">
        <f>216+432+120+168+240+192+96</f>
        <v>1464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3">
        <f t="shared" si="0"/>
        <v>1464</v>
      </c>
    </row>
    <row r="29" spans="1:52" s="3" customFormat="1" ht="29.25" customHeight="1" x14ac:dyDescent="0.4">
      <c r="A29" s="10">
        <v>26</v>
      </c>
      <c r="B29" s="15" t="s">
        <v>141</v>
      </c>
      <c r="C29" s="58" t="s">
        <v>9</v>
      </c>
      <c r="D29" s="36"/>
      <c r="E29" s="36">
        <f>3984+1200+1000+2000+1200</f>
        <v>9384</v>
      </c>
      <c r="F29" s="36"/>
      <c r="G29" s="36">
        <f>12600+1000+2800+900+2400+900</f>
        <v>20600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54">
        <v>1925</v>
      </c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1">
        <f t="shared" si="0"/>
        <v>31909</v>
      </c>
      <c r="AY29" s="4"/>
      <c r="AZ29" s="4"/>
    </row>
    <row r="30" spans="1:52" ht="24" customHeight="1" x14ac:dyDescent="0.4">
      <c r="A30" s="10">
        <v>27</v>
      </c>
      <c r="B30" s="15" t="s">
        <v>40</v>
      </c>
      <c r="C30" s="16" t="s">
        <v>10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>
        <v>14.914999999999999</v>
      </c>
      <c r="AW30" s="35"/>
      <c r="AX30" s="33">
        <f t="shared" si="0"/>
        <v>14.914999999999999</v>
      </c>
    </row>
    <row r="31" spans="1:52" ht="27" customHeight="1" x14ac:dyDescent="0.4">
      <c r="A31" s="10">
        <v>28</v>
      </c>
      <c r="B31" s="15" t="s">
        <v>22</v>
      </c>
      <c r="C31" s="16" t="s">
        <v>10</v>
      </c>
      <c r="D31" s="35"/>
      <c r="E31" s="35">
        <f>20+20.004+20.004+40</f>
        <v>100.00800000000001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3">
        <f t="shared" si="0"/>
        <v>100.00800000000001</v>
      </c>
    </row>
    <row r="32" spans="1:52" ht="24" customHeight="1" x14ac:dyDescent="0.4">
      <c r="A32" s="10">
        <v>29</v>
      </c>
      <c r="B32" s="15" t="s">
        <v>148</v>
      </c>
      <c r="C32" s="16" t="s">
        <v>10</v>
      </c>
      <c r="D32" s="35">
        <f>26.985+27.165</f>
        <v>54.15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>
        <f>0.302+0.264+0.305+0.33+0.32</f>
        <v>1.5210000000000001</v>
      </c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3">
        <f t="shared" si="0"/>
        <v>55.670999999999999</v>
      </c>
    </row>
    <row r="33" spans="1:50" ht="34.9" customHeight="1" x14ac:dyDescent="0.4">
      <c r="A33" s="10">
        <v>30</v>
      </c>
      <c r="B33" s="15" t="s">
        <v>78</v>
      </c>
      <c r="C33" s="58" t="s">
        <v>9</v>
      </c>
      <c r="D33" s="36"/>
      <c r="E33" s="36"/>
      <c r="F33" s="36"/>
      <c r="G33" s="36">
        <f>6070+2920+1250+1000</f>
        <v>11240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1">
        <f t="shared" ref="AX33:AX48" si="1">SUM(D33:AW33)</f>
        <v>11240</v>
      </c>
    </row>
    <row r="34" spans="1:50" x14ac:dyDescent="0.4">
      <c r="A34" s="10">
        <v>31</v>
      </c>
      <c r="B34" s="15" t="s">
        <v>26</v>
      </c>
      <c r="C34" s="16" t="s">
        <v>10</v>
      </c>
      <c r="D34" s="35"/>
      <c r="E34" s="35">
        <f>42+20+41</f>
        <v>103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3">
        <f t="shared" si="1"/>
        <v>103</v>
      </c>
    </row>
    <row r="35" spans="1:50" x14ac:dyDescent="0.4">
      <c r="A35" s="10">
        <v>32</v>
      </c>
      <c r="B35" s="15" t="s">
        <v>162</v>
      </c>
      <c r="C35" s="58" t="s">
        <v>8</v>
      </c>
      <c r="D35" s="36"/>
      <c r="E35" s="36">
        <f>1100+1200</f>
        <v>2300</v>
      </c>
      <c r="F35" s="36"/>
      <c r="G35" s="36"/>
      <c r="H35" s="36"/>
      <c r="I35" s="36"/>
      <c r="J35" s="36"/>
      <c r="K35" s="36"/>
      <c r="L35" s="36"/>
      <c r="M35" s="36"/>
      <c r="N35" s="36"/>
      <c r="O35" s="36">
        <v>950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1">
        <f t="shared" si="1"/>
        <v>3250</v>
      </c>
    </row>
    <row r="36" spans="1:50" x14ac:dyDescent="0.4">
      <c r="A36" s="10">
        <v>33</v>
      </c>
      <c r="B36" s="15" t="s">
        <v>169</v>
      </c>
      <c r="C36" s="16" t="s">
        <v>10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>
        <v>1.5</v>
      </c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3">
        <f t="shared" si="1"/>
        <v>1.5</v>
      </c>
    </row>
    <row r="37" spans="1:50" x14ac:dyDescent="0.4">
      <c r="A37" s="10">
        <v>34</v>
      </c>
      <c r="B37" s="15" t="s">
        <v>170</v>
      </c>
      <c r="C37" s="16" t="s">
        <v>10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45"/>
      <c r="AO37" s="45"/>
      <c r="AP37" s="45">
        <f>0.02+0.066</f>
        <v>8.6000000000000007E-2</v>
      </c>
      <c r="AQ37" s="45"/>
      <c r="AR37" s="45"/>
      <c r="AS37" s="45"/>
      <c r="AT37" s="45"/>
      <c r="AU37" s="45"/>
      <c r="AV37" s="45"/>
      <c r="AW37" s="45"/>
      <c r="AX37" s="47">
        <f t="shared" si="1"/>
        <v>8.6000000000000007E-2</v>
      </c>
    </row>
    <row r="38" spans="1:50" x14ac:dyDescent="0.4">
      <c r="A38" s="10">
        <v>35</v>
      </c>
      <c r="B38" s="15" t="s">
        <v>150</v>
      </c>
      <c r="C38" s="16" t="s">
        <v>10</v>
      </c>
      <c r="D38" s="35"/>
      <c r="E38" s="35">
        <f>22+44</f>
        <v>66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3">
        <f t="shared" si="1"/>
        <v>66</v>
      </c>
    </row>
    <row r="39" spans="1:50" x14ac:dyDescent="0.4">
      <c r="A39" s="10">
        <v>36</v>
      </c>
      <c r="B39" s="15" t="s">
        <v>184</v>
      </c>
      <c r="C39" s="58" t="s">
        <v>8</v>
      </c>
      <c r="D39" s="36"/>
      <c r="E39" s="36">
        <v>500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>
        <v>87</v>
      </c>
      <c r="AO39" s="36"/>
      <c r="AP39" s="36"/>
      <c r="AQ39" s="36"/>
      <c r="AR39" s="36"/>
      <c r="AS39" s="36"/>
      <c r="AT39" s="36"/>
      <c r="AU39" s="36"/>
      <c r="AV39" s="36"/>
      <c r="AW39" s="36"/>
      <c r="AX39" s="31">
        <f t="shared" si="1"/>
        <v>587</v>
      </c>
    </row>
    <row r="40" spans="1:50" x14ac:dyDescent="0.4">
      <c r="A40" s="10">
        <v>37</v>
      </c>
      <c r="B40" s="15" t="s">
        <v>67</v>
      </c>
      <c r="C40" s="16" t="s">
        <v>8</v>
      </c>
      <c r="D40" s="36"/>
      <c r="E40" s="36">
        <v>4000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1">
        <f t="shared" si="1"/>
        <v>4000</v>
      </c>
    </row>
    <row r="41" spans="1:50" x14ac:dyDescent="0.4">
      <c r="A41" s="10">
        <v>38</v>
      </c>
      <c r="B41" s="15" t="s">
        <v>186</v>
      </c>
      <c r="C41" s="16" t="s">
        <v>10</v>
      </c>
      <c r="D41" s="35"/>
      <c r="E41" s="35">
        <f>20+5+18.5</f>
        <v>43.5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3">
        <f t="shared" si="1"/>
        <v>43.5</v>
      </c>
    </row>
    <row r="42" spans="1:50" x14ac:dyDescent="0.4">
      <c r="A42" s="10">
        <v>39</v>
      </c>
      <c r="B42" s="15" t="s">
        <v>187</v>
      </c>
      <c r="C42" s="16" t="s">
        <v>10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>
        <v>8</v>
      </c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3">
        <f t="shared" si="1"/>
        <v>8</v>
      </c>
    </row>
    <row r="43" spans="1:50" x14ac:dyDescent="0.4">
      <c r="A43" s="10">
        <v>40</v>
      </c>
      <c r="B43" s="15" t="s">
        <v>183</v>
      </c>
      <c r="C43" s="16" t="s">
        <v>10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45">
        <v>0.01</v>
      </c>
      <c r="AO43" s="45"/>
      <c r="AP43" s="45"/>
      <c r="AQ43" s="45"/>
      <c r="AR43" s="45"/>
      <c r="AS43" s="45"/>
      <c r="AT43" s="45"/>
      <c r="AU43" s="45"/>
      <c r="AV43" s="45"/>
      <c r="AW43" s="45"/>
      <c r="AX43" s="47">
        <f t="shared" si="1"/>
        <v>0.01</v>
      </c>
    </row>
    <row r="44" spans="1:50" x14ac:dyDescent="0.4">
      <c r="A44" s="10">
        <v>41</v>
      </c>
      <c r="B44" s="15" t="s">
        <v>73</v>
      </c>
      <c r="C44" s="16" t="s">
        <v>10</v>
      </c>
      <c r="D44" s="62"/>
      <c r="E44" s="62"/>
      <c r="F44" s="62"/>
      <c r="G44" s="35">
        <v>88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33">
        <f t="shared" si="1"/>
        <v>88</v>
      </c>
    </row>
    <row r="45" spans="1:50" x14ac:dyDescent="0.4">
      <c r="A45" s="10">
        <v>42</v>
      </c>
      <c r="B45" s="63" t="s">
        <v>129</v>
      </c>
      <c r="C45" s="16" t="s">
        <v>10</v>
      </c>
      <c r="D45" s="62"/>
      <c r="E45" s="62"/>
      <c r="F45" s="62"/>
      <c r="G45" s="35">
        <v>12.55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33">
        <f t="shared" si="1"/>
        <v>12.55</v>
      </c>
    </row>
    <row r="46" spans="1:50" x14ac:dyDescent="0.4">
      <c r="A46" s="10">
        <v>43</v>
      </c>
      <c r="B46" s="15" t="s">
        <v>142</v>
      </c>
      <c r="C46" s="16" t="s">
        <v>10</v>
      </c>
      <c r="D46" s="62"/>
      <c r="E46" s="35"/>
      <c r="F46" s="35">
        <f>29.85+27.6</f>
        <v>57.45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3">
        <f t="shared" si="1"/>
        <v>57.45</v>
      </c>
    </row>
    <row r="47" spans="1:50" x14ac:dyDescent="0.4">
      <c r="A47" s="10">
        <v>44</v>
      </c>
      <c r="B47" s="15" t="s">
        <v>28</v>
      </c>
      <c r="C47" s="16" t="s">
        <v>10</v>
      </c>
      <c r="D47" s="35"/>
      <c r="E47" s="35">
        <v>1.4610000000000001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3">
        <f t="shared" si="1"/>
        <v>1.4610000000000001</v>
      </c>
    </row>
    <row r="48" spans="1:50" x14ac:dyDescent="0.4">
      <c r="A48" s="10">
        <v>45</v>
      </c>
      <c r="B48" s="15" t="s">
        <v>195</v>
      </c>
      <c r="C48" s="16" t="s">
        <v>10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>
        <v>0.112</v>
      </c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3">
        <f t="shared" si="1"/>
        <v>0.112</v>
      </c>
    </row>
  </sheetData>
  <mergeCells count="5">
    <mergeCell ref="A1:AX1"/>
    <mergeCell ref="A2:A3"/>
    <mergeCell ref="B2:B3"/>
    <mergeCell ref="C2:C3"/>
    <mergeCell ref="AX2:AX3"/>
  </mergeCells>
  <conditionalFormatting sqref="D2:AW2">
    <cfRule type="duplicateValues" dxfId="9" priority="6"/>
    <cfRule type="duplicateValues" dxfId="8" priority="8"/>
    <cfRule type="duplicateValues" dxfId="7" priority="67"/>
    <cfRule type="duplicateValues" dxfId="6" priority="68"/>
  </conditionalFormatting>
  <conditionalFormatting sqref="B45">
    <cfRule type="duplicateValues" dxfId="5" priority="3"/>
  </conditionalFormatting>
  <pageMargins left="0.11811023622047245" right="0" top="0" bottom="0.74803149606299213" header="0" footer="0.31496062992125984"/>
  <pageSetup paperSize="9"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abSelected="1" zoomScale="88" zoomScaleNormal="130" workbookViewId="0">
      <selection activeCell="D10" sqref="D10"/>
    </sheetView>
  </sheetViews>
  <sheetFormatPr defaultColWidth="9.140625" defaultRowHeight="15.75" x14ac:dyDescent="0.25"/>
  <cols>
    <col min="1" max="1" width="6.7109375" style="1" customWidth="1"/>
    <col min="2" max="2" width="5.42578125" style="1" customWidth="1"/>
    <col min="3" max="3" width="50.7109375" style="1" customWidth="1"/>
    <col min="4" max="4" width="5.42578125" style="1" customWidth="1"/>
    <col min="5" max="5" width="14.28515625" style="1" bestFit="1" customWidth="1"/>
    <col min="6" max="6" width="15.7109375" style="1" bestFit="1" customWidth="1"/>
    <col min="7" max="7" width="11.28515625" style="1" customWidth="1"/>
    <col min="9" max="11" width="7.42578125" style="1" customWidth="1"/>
    <col min="12" max="16384" width="9.140625" style="1"/>
  </cols>
  <sheetData>
    <row r="1" spans="2:7" ht="18" customHeight="1" x14ac:dyDescent="0.25">
      <c r="B1" s="92" t="s">
        <v>203</v>
      </c>
      <c r="C1" s="92"/>
      <c r="D1" s="92"/>
      <c r="E1" s="92"/>
      <c r="F1" s="92"/>
      <c r="G1" s="92"/>
    </row>
    <row r="2" spans="2:7" s="2" customFormat="1" ht="40.5" customHeight="1" x14ac:dyDescent="0.25">
      <c r="B2" s="94" t="s">
        <v>12</v>
      </c>
      <c r="C2" s="94" t="s">
        <v>0</v>
      </c>
      <c r="D2" s="81" t="s">
        <v>17</v>
      </c>
      <c r="E2" s="93" t="s">
        <v>18</v>
      </c>
      <c r="F2" s="93"/>
      <c r="G2" s="79" t="s">
        <v>11</v>
      </c>
    </row>
    <row r="3" spans="2:7" ht="15.75" customHeight="1" x14ac:dyDescent="0.25">
      <c r="B3" s="94"/>
      <c r="C3" s="94"/>
      <c r="D3" s="81"/>
      <c r="E3" s="67" t="s">
        <v>6</v>
      </c>
      <c r="F3" s="67" t="s">
        <v>7</v>
      </c>
      <c r="G3" s="79"/>
    </row>
    <row r="4" spans="2:7" x14ac:dyDescent="0.25">
      <c r="B4" s="7">
        <v>1</v>
      </c>
      <c r="C4" s="7" t="s">
        <v>13</v>
      </c>
      <c r="D4" s="7" t="s">
        <v>8</v>
      </c>
      <c r="E4" s="40">
        <v>40047</v>
      </c>
      <c r="F4" s="40">
        <v>43750</v>
      </c>
      <c r="G4" s="71"/>
    </row>
    <row r="5" spans="2:7" x14ac:dyDescent="0.25">
      <c r="B5" s="7">
        <v>2</v>
      </c>
      <c r="C5" s="7" t="s">
        <v>14</v>
      </c>
      <c r="D5" s="7" t="s">
        <v>8</v>
      </c>
      <c r="E5" s="40">
        <v>1301</v>
      </c>
      <c r="F5" s="40">
        <v>48946</v>
      </c>
      <c r="G5" s="71"/>
    </row>
    <row r="6" spans="2:7" x14ac:dyDescent="0.25">
      <c r="B6" s="7">
        <v>3</v>
      </c>
      <c r="C6" s="7" t="s">
        <v>86</v>
      </c>
      <c r="D6" s="7" t="s">
        <v>8</v>
      </c>
      <c r="E6" s="40">
        <v>9389</v>
      </c>
      <c r="F6" s="40">
        <v>1823</v>
      </c>
      <c r="G6" s="71"/>
    </row>
    <row r="7" spans="2:7" x14ac:dyDescent="0.25">
      <c r="B7" s="7">
        <v>4</v>
      </c>
      <c r="C7" s="7" t="s">
        <v>77</v>
      </c>
      <c r="D7" s="7" t="s">
        <v>8</v>
      </c>
      <c r="E7" s="40">
        <v>2307</v>
      </c>
      <c r="F7" s="40"/>
      <c r="G7" s="66"/>
    </row>
    <row r="8" spans="2:7" x14ac:dyDescent="0.25">
      <c r="B8" s="7">
        <v>5</v>
      </c>
      <c r="C8" s="7" t="s">
        <v>22</v>
      </c>
      <c r="D8" s="7" t="s">
        <v>10</v>
      </c>
      <c r="E8" s="41">
        <v>80890.200209999995</v>
      </c>
      <c r="F8" s="41">
        <v>6012.3029999999999</v>
      </c>
      <c r="G8" s="66"/>
    </row>
    <row r="9" spans="2:7" x14ac:dyDescent="0.25">
      <c r="B9" s="7">
        <v>6</v>
      </c>
      <c r="C9" s="7" t="s">
        <v>142</v>
      </c>
      <c r="D9" s="7" t="s">
        <v>10</v>
      </c>
      <c r="E9" s="41">
        <v>1541.7889999999998</v>
      </c>
      <c r="F9" s="41">
        <v>138.43</v>
      </c>
      <c r="G9" s="40"/>
    </row>
    <row r="10" spans="2:7" x14ac:dyDescent="0.25">
      <c r="B10" s="7">
        <v>7</v>
      </c>
      <c r="C10" s="8" t="s">
        <v>96</v>
      </c>
      <c r="D10" s="8" t="s">
        <v>10</v>
      </c>
      <c r="E10" s="41">
        <v>861.54899999999998</v>
      </c>
      <c r="F10" s="41"/>
      <c r="G10" s="66"/>
    </row>
    <row r="11" spans="2:7" x14ac:dyDescent="0.25">
      <c r="B11" s="7">
        <v>8</v>
      </c>
      <c r="C11" s="8" t="s">
        <v>113</v>
      </c>
      <c r="D11" s="8" t="s">
        <v>10</v>
      </c>
      <c r="E11" s="41">
        <v>458.13499999999999</v>
      </c>
      <c r="F11" s="41"/>
      <c r="G11" s="66"/>
    </row>
    <row r="12" spans="2:7" x14ac:dyDescent="0.25">
      <c r="B12" s="7">
        <v>9</v>
      </c>
      <c r="C12" s="7" t="s">
        <v>28</v>
      </c>
      <c r="D12" s="7" t="s">
        <v>10</v>
      </c>
      <c r="E12" s="41">
        <v>2049.3919999999998</v>
      </c>
      <c r="F12" s="41">
        <v>56.728999999999999</v>
      </c>
      <c r="G12" s="41"/>
    </row>
    <row r="13" spans="2:7" x14ac:dyDescent="0.25">
      <c r="B13" s="7">
        <v>10</v>
      </c>
      <c r="C13" s="8" t="s">
        <v>90</v>
      </c>
      <c r="D13" s="8" t="s">
        <v>10</v>
      </c>
      <c r="E13" s="41">
        <v>527.94399999999996</v>
      </c>
      <c r="F13" s="41"/>
      <c r="G13" s="66"/>
    </row>
    <row r="14" spans="2:7" x14ac:dyDescent="0.25">
      <c r="B14" s="7">
        <v>11</v>
      </c>
      <c r="C14" s="7" t="s">
        <v>27</v>
      </c>
      <c r="D14" s="7" t="s">
        <v>10</v>
      </c>
      <c r="E14" s="41">
        <f>7499.3691+10988.60654</f>
        <v>18487.975640000001</v>
      </c>
      <c r="F14" s="41">
        <f>22959.86561+8206.4</f>
        <v>31166.265610000002</v>
      </c>
      <c r="G14" s="66"/>
    </row>
    <row r="15" spans="2:7" x14ac:dyDescent="0.25">
      <c r="B15" s="89" t="s">
        <v>125</v>
      </c>
      <c r="C15" s="90"/>
      <c r="D15" s="91"/>
      <c r="E15" s="41"/>
      <c r="F15" s="41"/>
      <c r="G15" s="66"/>
    </row>
    <row r="16" spans="2:7" x14ac:dyDescent="0.25">
      <c r="B16" s="7">
        <v>12</v>
      </c>
      <c r="C16" s="51" t="s">
        <v>26</v>
      </c>
      <c r="D16" s="7" t="s">
        <v>10</v>
      </c>
      <c r="E16" s="41">
        <v>1643.5426400000001</v>
      </c>
      <c r="F16" s="41">
        <v>1921.9540000000002</v>
      </c>
      <c r="G16" s="66"/>
    </row>
    <row r="17" spans="2:11" x14ac:dyDescent="0.25">
      <c r="B17" s="7">
        <v>13</v>
      </c>
      <c r="C17" s="51" t="s">
        <v>34</v>
      </c>
      <c r="D17" s="7" t="s">
        <v>10</v>
      </c>
      <c r="E17" s="41"/>
      <c r="F17" s="41">
        <v>46.209999999999994</v>
      </c>
      <c r="G17" s="66"/>
    </row>
    <row r="18" spans="2:11" x14ac:dyDescent="0.25">
      <c r="B18" s="7">
        <v>14</v>
      </c>
      <c r="C18" s="51" t="s">
        <v>104</v>
      </c>
      <c r="D18" s="7" t="s">
        <v>10</v>
      </c>
      <c r="E18" s="41"/>
      <c r="F18" s="41">
        <v>1.7770000000000001</v>
      </c>
      <c r="G18" s="66"/>
    </row>
    <row r="19" spans="2:11" x14ac:dyDescent="0.25">
      <c r="B19" s="7">
        <v>15</v>
      </c>
      <c r="C19" s="51" t="s">
        <v>43</v>
      </c>
      <c r="D19" s="7" t="s">
        <v>10</v>
      </c>
      <c r="E19" s="41">
        <v>151.47999999999999</v>
      </c>
      <c r="F19" s="41">
        <v>1881.395</v>
      </c>
      <c r="G19" s="66"/>
    </row>
    <row r="20" spans="2:11" x14ac:dyDescent="0.25">
      <c r="B20" s="7">
        <v>16</v>
      </c>
      <c r="C20" s="51" t="s">
        <v>65</v>
      </c>
      <c r="D20" s="7" t="s">
        <v>10</v>
      </c>
      <c r="E20" s="41">
        <v>3204.7370000000001</v>
      </c>
      <c r="F20" s="41">
        <v>3828.7740000000003</v>
      </c>
      <c r="G20" s="66"/>
    </row>
    <row r="21" spans="2:11" x14ac:dyDescent="0.25">
      <c r="B21" s="7">
        <v>17</v>
      </c>
      <c r="C21" s="51" t="s">
        <v>62</v>
      </c>
      <c r="D21" s="7" t="s">
        <v>10</v>
      </c>
      <c r="E21" s="41">
        <v>1086.2350000000001</v>
      </c>
      <c r="F21" s="41"/>
      <c r="G21" s="66"/>
    </row>
    <row r="22" spans="2:11" x14ac:dyDescent="0.25">
      <c r="B22" s="7">
        <v>18</v>
      </c>
      <c r="C22" s="51" t="s">
        <v>76</v>
      </c>
      <c r="D22" s="7" t="s">
        <v>10</v>
      </c>
      <c r="E22" s="41">
        <v>338.00900000000001</v>
      </c>
      <c r="F22" s="70">
        <v>0.4</v>
      </c>
      <c r="G22" s="66"/>
    </row>
    <row r="23" spans="2:11" x14ac:dyDescent="0.25">
      <c r="B23" s="7">
        <v>19</v>
      </c>
      <c r="C23" s="39" t="s">
        <v>93</v>
      </c>
      <c r="D23" s="8" t="s">
        <v>10</v>
      </c>
      <c r="E23" s="41">
        <v>2171.049</v>
      </c>
      <c r="F23" s="70">
        <v>459.08000000000004</v>
      </c>
      <c r="G23" s="66"/>
    </row>
    <row r="24" spans="2:11" x14ac:dyDescent="0.25">
      <c r="B24" s="7">
        <v>20</v>
      </c>
      <c r="C24" s="39" t="s">
        <v>94</v>
      </c>
      <c r="D24" s="8" t="s">
        <v>10</v>
      </c>
      <c r="E24" s="41">
        <v>56.179899999999996</v>
      </c>
      <c r="F24" s="70"/>
      <c r="G24" s="66"/>
    </row>
    <row r="25" spans="2:11" x14ac:dyDescent="0.25">
      <c r="B25" s="7">
        <v>21</v>
      </c>
      <c r="C25" s="39" t="s">
        <v>126</v>
      </c>
      <c r="D25" s="8" t="s">
        <v>10</v>
      </c>
      <c r="E25" s="41">
        <v>294.64499999999998</v>
      </c>
      <c r="F25" s="70"/>
      <c r="G25" s="66"/>
    </row>
    <row r="26" spans="2:11" x14ac:dyDescent="0.25">
      <c r="B26" s="7">
        <v>22</v>
      </c>
      <c r="C26" s="39" t="s">
        <v>150</v>
      </c>
      <c r="D26" s="8" t="s">
        <v>10</v>
      </c>
      <c r="E26" s="41">
        <v>229.17400000000001</v>
      </c>
      <c r="F26" s="41">
        <v>66</v>
      </c>
      <c r="G26" s="66"/>
    </row>
    <row r="27" spans="2:11" x14ac:dyDescent="0.25">
      <c r="B27" s="7">
        <v>23</v>
      </c>
      <c r="C27" s="51" t="s">
        <v>69</v>
      </c>
      <c r="D27" s="7" t="s">
        <v>10</v>
      </c>
      <c r="E27" s="41">
        <v>1798.8949999999998</v>
      </c>
      <c r="F27" s="41">
        <v>0.123</v>
      </c>
      <c r="G27" s="66"/>
    </row>
    <row r="28" spans="2:11" x14ac:dyDescent="0.25">
      <c r="B28" s="7">
        <v>24</v>
      </c>
      <c r="C28" s="39" t="s">
        <v>158</v>
      </c>
      <c r="D28" s="8" t="s">
        <v>10</v>
      </c>
      <c r="E28" s="41">
        <v>14.66</v>
      </c>
      <c r="F28" s="41">
        <v>0.68700000000000006</v>
      </c>
      <c r="G28" s="66"/>
    </row>
    <row r="29" spans="2:11" x14ac:dyDescent="0.25">
      <c r="B29" s="7">
        <v>25</v>
      </c>
      <c r="C29" s="7" t="s">
        <v>61</v>
      </c>
      <c r="D29" s="7" t="s">
        <v>10</v>
      </c>
      <c r="E29" s="41">
        <v>657.24099999999999</v>
      </c>
      <c r="F29" s="41">
        <v>357.01100000000002</v>
      </c>
      <c r="G29" s="66"/>
      <c r="I29" s="72"/>
      <c r="J29" s="72"/>
    </row>
    <row r="30" spans="2:11" x14ac:dyDescent="0.25">
      <c r="B30" s="7">
        <v>26</v>
      </c>
      <c r="C30" s="7" t="s">
        <v>29</v>
      </c>
      <c r="D30" s="7" t="s">
        <v>10</v>
      </c>
      <c r="E30" s="41">
        <v>447.40499999999997</v>
      </c>
      <c r="F30" s="41">
        <v>566.46</v>
      </c>
      <c r="G30" s="66"/>
    </row>
    <row r="31" spans="2:11" x14ac:dyDescent="0.25">
      <c r="B31" s="7">
        <v>27</v>
      </c>
      <c r="C31" s="7" t="s">
        <v>30</v>
      </c>
      <c r="D31" s="7" t="s">
        <v>10</v>
      </c>
      <c r="E31" s="41">
        <v>7527.0582050000012</v>
      </c>
      <c r="F31" s="41">
        <v>219.273</v>
      </c>
      <c r="G31" s="66"/>
    </row>
    <row r="32" spans="2:11" x14ac:dyDescent="0.25">
      <c r="B32" s="7">
        <v>28</v>
      </c>
      <c r="C32" s="7" t="s">
        <v>31</v>
      </c>
      <c r="D32" s="7" t="s">
        <v>10</v>
      </c>
      <c r="E32" s="41">
        <v>1095.816</v>
      </c>
      <c r="F32" s="41"/>
      <c r="G32" s="66"/>
      <c r="J32" s="52"/>
      <c r="K32" s="52"/>
    </row>
    <row r="33" spans="2:11" x14ac:dyDescent="0.25">
      <c r="B33" s="7">
        <v>29</v>
      </c>
      <c r="C33" s="7" t="s">
        <v>32</v>
      </c>
      <c r="D33" s="7" t="s">
        <v>9</v>
      </c>
      <c r="E33" s="40">
        <v>1836000</v>
      </c>
      <c r="F33" s="40">
        <v>12772800</v>
      </c>
      <c r="G33" s="66"/>
      <c r="J33" s="52"/>
      <c r="K33" s="52"/>
    </row>
    <row r="34" spans="2:11" x14ac:dyDescent="0.25">
      <c r="B34" s="7">
        <v>30</v>
      </c>
      <c r="C34" s="7" t="s">
        <v>33</v>
      </c>
      <c r="D34" s="7" t="s">
        <v>9</v>
      </c>
      <c r="E34" s="40">
        <v>5896578</v>
      </c>
      <c r="F34" s="40"/>
      <c r="G34" s="66"/>
    </row>
    <row r="35" spans="2:11" x14ac:dyDescent="0.25">
      <c r="B35" s="7">
        <v>31</v>
      </c>
      <c r="C35" s="7" t="s">
        <v>63</v>
      </c>
      <c r="D35" s="7" t="s">
        <v>10</v>
      </c>
      <c r="E35" s="41"/>
      <c r="F35" s="41">
        <v>948.62300000000005</v>
      </c>
      <c r="G35" s="41"/>
    </row>
    <row r="36" spans="2:11" x14ac:dyDescent="0.25">
      <c r="B36" s="7">
        <v>32</v>
      </c>
      <c r="C36" s="7" t="s">
        <v>74</v>
      </c>
      <c r="D36" s="7" t="s">
        <v>9</v>
      </c>
      <c r="E36" s="40">
        <v>28600</v>
      </c>
      <c r="F36" s="40"/>
      <c r="G36" s="41"/>
    </row>
    <row r="37" spans="2:11" x14ac:dyDescent="0.25">
      <c r="B37" s="7">
        <v>33</v>
      </c>
      <c r="C37" s="7" t="s">
        <v>41</v>
      </c>
      <c r="D37" s="7" t="s">
        <v>10</v>
      </c>
      <c r="E37" s="41">
        <v>201.34800000000001</v>
      </c>
      <c r="F37" s="41">
        <v>513.04199999999992</v>
      </c>
      <c r="G37" s="40"/>
    </row>
    <row r="38" spans="2:11" x14ac:dyDescent="0.25">
      <c r="B38" s="7">
        <v>34</v>
      </c>
      <c r="C38" s="8" t="s">
        <v>95</v>
      </c>
      <c r="D38" s="8" t="s">
        <v>10</v>
      </c>
      <c r="E38" s="41"/>
      <c r="F38" s="41">
        <v>2603.1999999999998</v>
      </c>
      <c r="G38" s="40"/>
    </row>
    <row r="39" spans="2:11" x14ac:dyDescent="0.25">
      <c r="B39" s="7">
        <v>35</v>
      </c>
      <c r="C39" s="8" t="s">
        <v>106</v>
      </c>
      <c r="D39" s="8" t="s">
        <v>9</v>
      </c>
      <c r="E39" s="40"/>
      <c r="F39" s="40">
        <v>34130</v>
      </c>
      <c r="G39" s="41"/>
    </row>
    <row r="40" spans="2:11" x14ac:dyDescent="0.25">
      <c r="B40" s="7">
        <v>36</v>
      </c>
      <c r="C40" s="8" t="s">
        <v>107</v>
      </c>
      <c r="D40" s="8" t="s">
        <v>9</v>
      </c>
      <c r="E40" s="40"/>
      <c r="F40" s="40">
        <v>6529</v>
      </c>
      <c r="G40" s="40"/>
    </row>
    <row r="41" spans="2:11" x14ac:dyDescent="0.25">
      <c r="B41" s="7">
        <v>37</v>
      </c>
      <c r="C41" s="8" t="s">
        <v>131</v>
      </c>
      <c r="D41" s="8" t="s">
        <v>9</v>
      </c>
      <c r="E41" s="40"/>
      <c r="F41" s="40">
        <v>31909</v>
      </c>
      <c r="G41" s="41"/>
    </row>
    <row r="42" spans="2:11" x14ac:dyDescent="0.25">
      <c r="B42" s="7">
        <v>38</v>
      </c>
      <c r="C42" s="8" t="s">
        <v>176</v>
      </c>
      <c r="D42" s="8" t="s">
        <v>10</v>
      </c>
      <c r="E42" s="41"/>
      <c r="F42" s="41">
        <v>113.6</v>
      </c>
      <c r="G42" s="41"/>
    </row>
    <row r="43" spans="2:11" x14ac:dyDescent="0.25">
      <c r="B43" s="7">
        <v>39</v>
      </c>
      <c r="C43" s="8" t="s">
        <v>164</v>
      </c>
      <c r="D43" s="8" t="s">
        <v>9</v>
      </c>
      <c r="E43" s="40">
        <v>5000</v>
      </c>
      <c r="F43" s="40"/>
      <c r="G43" s="41"/>
    </row>
    <row r="44" spans="2:11" x14ac:dyDescent="0.25">
      <c r="B44" s="7">
        <v>40</v>
      </c>
      <c r="C44" s="8" t="s">
        <v>173</v>
      </c>
      <c r="D44" s="8" t="s">
        <v>10</v>
      </c>
      <c r="E44" s="41"/>
      <c r="F44" s="41">
        <v>8.6000000000000007E-2</v>
      </c>
      <c r="G44" s="41"/>
    </row>
    <row r="45" spans="2:11" x14ac:dyDescent="0.25">
      <c r="B45" s="7">
        <v>41</v>
      </c>
      <c r="C45" s="8" t="s">
        <v>148</v>
      </c>
      <c r="D45" s="8" t="s">
        <v>10</v>
      </c>
      <c r="E45" s="41">
        <v>25</v>
      </c>
      <c r="F45" s="41">
        <v>55.670999999999999</v>
      </c>
      <c r="G45" s="41"/>
    </row>
    <row r="46" spans="2:11" x14ac:dyDescent="0.25">
      <c r="B46" s="7">
        <v>42</v>
      </c>
      <c r="C46" s="7" t="s">
        <v>78</v>
      </c>
      <c r="D46" s="7" t="s">
        <v>9</v>
      </c>
      <c r="E46" s="40">
        <v>108035</v>
      </c>
      <c r="F46" s="40">
        <v>11240</v>
      </c>
      <c r="G46" s="41"/>
    </row>
    <row r="47" spans="2:11" x14ac:dyDescent="0.25">
      <c r="B47" s="7">
        <v>43</v>
      </c>
      <c r="C47" s="7" t="s">
        <v>72</v>
      </c>
      <c r="D47" s="7" t="s">
        <v>10</v>
      </c>
      <c r="E47" s="41">
        <v>519.53</v>
      </c>
      <c r="F47" s="41"/>
      <c r="G47" s="41"/>
    </row>
    <row r="48" spans="2:11" x14ac:dyDescent="0.25">
      <c r="B48" s="7">
        <v>44</v>
      </c>
      <c r="C48" s="7" t="s">
        <v>24</v>
      </c>
      <c r="D48" s="7" t="s">
        <v>10</v>
      </c>
      <c r="E48" s="41">
        <v>5294.9369999999999</v>
      </c>
      <c r="F48" s="41">
        <v>212.125</v>
      </c>
      <c r="G48" s="41"/>
    </row>
    <row r="49" spans="2:7" x14ac:dyDescent="0.25">
      <c r="B49" s="7">
        <v>45</v>
      </c>
      <c r="C49" s="7" t="s">
        <v>42</v>
      </c>
      <c r="D49" s="7" t="s">
        <v>10</v>
      </c>
      <c r="E49" s="41">
        <v>27485.363000000001</v>
      </c>
      <c r="F49" s="41"/>
      <c r="G49" s="40"/>
    </row>
    <row r="50" spans="2:7" x14ac:dyDescent="0.25">
      <c r="B50" s="7">
        <v>46</v>
      </c>
      <c r="C50" s="7" t="s">
        <v>38</v>
      </c>
      <c r="D50" s="7" t="s">
        <v>10</v>
      </c>
      <c r="E50" s="41">
        <v>2953.42</v>
      </c>
      <c r="F50" s="41">
        <v>69.807999999999993</v>
      </c>
      <c r="G50" s="40"/>
    </row>
    <row r="51" spans="2:7" x14ac:dyDescent="0.25">
      <c r="B51" s="7">
        <v>47</v>
      </c>
      <c r="C51" s="7" t="s">
        <v>40</v>
      </c>
      <c r="D51" s="7" t="s">
        <v>10</v>
      </c>
      <c r="E51" s="41">
        <v>6933.0720000000001</v>
      </c>
      <c r="F51" s="41">
        <v>896.51499999999987</v>
      </c>
      <c r="G51" s="40"/>
    </row>
    <row r="52" spans="2:7" x14ac:dyDescent="0.25">
      <c r="B52" s="7">
        <v>48</v>
      </c>
      <c r="C52" s="7" t="s">
        <v>39</v>
      </c>
      <c r="D52" s="7" t="s">
        <v>10</v>
      </c>
      <c r="E52" s="41">
        <v>183.39159999999998</v>
      </c>
      <c r="F52" s="41">
        <v>41.734000000000009</v>
      </c>
      <c r="G52" s="41"/>
    </row>
    <row r="53" spans="2:7" x14ac:dyDescent="0.25">
      <c r="B53" s="7">
        <v>49</v>
      </c>
      <c r="C53" s="8" t="s">
        <v>156</v>
      </c>
      <c r="D53" s="8" t="s">
        <v>10</v>
      </c>
      <c r="E53" s="41">
        <v>110</v>
      </c>
      <c r="F53" s="41"/>
      <c r="G53" s="41"/>
    </row>
    <row r="54" spans="2:7" x14ac:dyDescent="0.25">
      <c r="B54" s="7">
        <v>50</v>
      </c>
      <c r="C54" s="8" t="s">
        <v>180</v>
      </c>
      <c r="D54" s="8" t="s">
        <v>10</v>
      </c>
      <c r="E54" s="41"/>
      <c r="F54" s="41">
        <v>171.8</v>
      </c>
      <c r="G54" s="41"/>
    </row>
    <row r="55" spans="2:7" x14ac:dyDescent="0.25">
      <c r="B55" s="7">
        <v>51</v>
      </c>
      <c r="C55" s="7" t="s">
        <v>23</v>
      </c>
      <c r="D55" s="7" t="s">
        <v>10</v>
      </c>
      <c r="E55" s="41">
        <v>1744.691</v>
      </c>
      <c r="F55" s="41">
        <v>1552.0740000000001</v>
      </c>
      <c r="G55" s="40"/>
    </row>
    <row r="56" spans="2:7" x14ac:dyDescent="0.25">
      <c r="B56" s="7">
        <v>52</v>
      </c>
      <c r="C56" s="7" t="s">
        <v>87</v>
      </c>
      <c r="D56" s="7" t="s">
        <v>8</v>
      </c>
      <c r="E56" s="40">
        <v>43</v>
      </c>
      <c r="F56" s="40">
        <v>92</v>
      </c>
      <c r="G56" s="41"/>
    </row>
    <row r="57" spans="2:7" x14ac:dyDescent="0.25">
      <c r="B57" s="7">
        <v>53</v>
      </c>
      <c r="C57" s="7" t="s">
        <v>88</v>
      </c>
      <c r="D57" s="7" t="s">
        <v>8</v>
      </c>
      <c r="E57" s="40">
        <v>1</v>
      </c>
      <c r="F57" s="40">
        <v>73</v>
      </c>
      <c r="G57" s="40"/>
    </row>
    <row r="58" spans="2:7" x14ac:dyDescent="0.25">
      <c r="B58" s="7">
        <v>54</v>
      </c>
      <c r="C58" s="7" t="s">
        <v>179</v>
      </c>
      <c r="D58" s="7" t="s">
        <v>8</v>
      </c>
      <c r="E58" s="40">
        <v>4780</v>
      </c>
      <c r="F58" s="40">
        <v>32432</v>
      </c>
      <c r="G58" s="41"/>
    </row>
    <row r="59" spans="2:7" x14ac:dyDescent="0.25">
      <c r="B59" s="7">
        <v>55</v>
      </c>
      <c r="C59" s="7" t="s">
        <v>35</v>
      </c>
      <c r="D59" s="7" t="s">
        <v>10</v>
      </c>
      <c r="E59" s="41">
        <v>18.535</v>
      </c>
      <c r="F59" s="41">
        <v>237.21299999999999</v>
      </c>
      <c r="G59" s="41"/>
    </row>
    <row r="60" spans="2:7" x14ac:dyDescent="0.25">
      <c r="B60" s="7">
        <v>56</v>
      </c>
      <c r="C60" s="7" t="s">
        <v>37</v>
      </c>
      <c r="D60" s="7" t="s">
        <v>10</v>
      </c>
      <c r="E60" s="41">
        <v>9608.4239999999991</v>
      </c>
      <c r="F60" s="41">
        <v>16859.04</v>
      </c>
      <c r="G60" s="41"/>
    </row>
    <row r="61" spans="2:7" x14ac:dyDescent="0.25">
      <c r="B61" s="7">
        <v>57</v>
      </c>
      <c r="C61" s="7" t="s">
        <v>45</v>
      </c>
      <c r="D61" s="7" t="s">
        <v>10</v>
      </c>
      <c r="E61" s="41">
        <v>147.5686</v>
      </c>
      <c r="F61" s="41"/>
      <c r="G61" s="40"/>
    </row>
    <row r="62" spans="2:7" x14ac:dyDescent="0.25">
      <c r="B62" s="7">
        <v>58</v>
      </c>
      <c r="C62" s="7" t="s">
        <v>48</v>
      </c>
      <c r="D62" s="7" t="s">
        <v>9</v>
      </c>
      <c r="E62" s="40"/>
      <c r="F62" s="40">
        <v>212</v>
      </c>
      <c r="G62" s="41"/>
    </row>
    <row r="63" spans="2:7" x14ac:dyDescent="0.25">
      <c r="B63" s="7">
        <v>59</v>
      </c>
      <c r="C63" s="7" t="s">
        <v>49</v>
      </c>
      <c r="D63" s="7" t="s">
        <v>10</v>
      </c>
      <c r="E63" s="41">
        <v>118.30000000000001</v>
      </c>
      <c r="F63" s="41">
        <v>63.614820000000002</v>
      </c>
      <c r="G63" s="41"/>
    </row>
    <row r="64" spans="2:7" x14ac:dyDescent="0.25">
      <c r="B64" s="7">
        <v>60</v>
      </c>
      <c r="C64" s="7" t="s">
        <v>50</v>
      </c>
      <c r="D64" s="7" t="s">
        <v>9</v>
      </c>
      <c r="E64" s="40">
        <v>52354000</v>
      </c>
      <c r="F64" s="40">
        <v>1877000</v>
      </c>
      <c r="G64" s="41"/>
    </row>
    <row r="65" spans="2:7" x14ac:dyDescent="0.25">
      <c r="B65" s="7">
        <v>61</v>
      </c>
      <c r="C65" s="7" t="s">
        <v>64</v>
      </c>
      <c r="D65" s="7" t="s">
        <v>10</v>
      </c>
      <c r="E65" s="41">
        <v>567.97300000000007</v>
      </c>
      <c r="F65" s="41">
        <v>41.495000000000005</v>
      </c>
      <c r="G65" s="40"/>
    </row>
    <row r="66" spans="2:7" x14ac:dyDescent="0.25">
      <c r="B66" s="7">
        <v>62</v>
      </c>
      <c r="C66" s="7" t="s">
        <v>75</v>
      </c>
      <c r="D66" s="7" t="s">
        <v>10</v>
      </c>
      <c r="E66" s="41">
        <v>815.95800000000008</v>
      </c>
      <c r="F66" s="41">
        <v>235.43199999999999</v>
      </c>
      <c r="G66" s="40"/>
    </row>
    <row r="67" spans="2:7" x14ac:dyDescent="0.25">
      <c r="B67" s="7">
        <v>63</v>
      </c>
      <c r="C67" s="7" t="s">
        <v>66</v>
      </c>
      <c r="D67" s="7" t="s">
        <v>10</v>
      </c>
      <c r="E67" s="41">
        <v>457.017</v>
      </c>
      <c r="F67" s="41"/>
      <c r="G67" s="40"/>
    </row>
    <row r="68" spans="2:7" x14ac:dyDescent="0.25">
      <c r="B68" s="7">
        <v>64</v>
      </c>
      <c r="C68" s="7" t="s">
        <v>67</v>
      </c>
      <c r="D68" s="7" t="s">
        <v>8</v>
      </c>
      <c r="E68" s="40">
        <v>1398760</v>
      </c>
      <c r="F68" s="40">
        <v>17710</v>
      </c>
      <c r="G68" s="41"/>
    </row>
    <row r="69" spans="2:7" x14ac:dyDescent="0.25">
      <c r="B69" s="7">
        <v>65</v>
      </c>
      <c r="C69" s="7" t="s">
        <v>68</v>
      </c>
      <c r="D69" s="7" t="s">
        <v>10</v>
      </c>
      <c r="E69" s="41">
        <v>695.11500000000001</v>
      </c>
      <c r="F69" s="41">
        <v>103.5</v>
      </c>
      <c r="G69" s="41"/>
    </row>
    <row r="70" spans="2:7" x14ac:dyDescent="0.25">
      <c r="B70" s="7">
        <v>66</v>
      </c>
      <c r="C70" s="7" t="s">
        <v>70</v>
      </c>
      <c r="D70" s="7" t="s">
        <v>10</v>
      </c>
      <c r="E70" s="41">
        <v>2059.9330000000004</v>
      </c>
      <c r="F70" s="41">
        <v>71.334000000000003</v>
      </c>
      <c r="G70" s="40"/>
    </row>
    <row r="71" spans="2:7" x14ac:dyDescent="0.25">
      <c r="B71" s="7">
        <v>67</v>
      </c>
      <c r="C71" s="7" t="s">
        <v>71</v>
      </c>
      <c r="D71" s="7" t="s">
        <v>10</v>
      </c>
      <c r="E71" s="41">
        <v>4.2709999999999999</v>
      </c>
      <c r="F71" s="41">
        <v>0.13</v>
      </c>
      <c r="G71" s="41"/>
    </row>
    <row r="72" spans="2:7" x14ac:dyDescent="0.25">
      <c r="B72" s="7">
        <v>68</v>
      </c>
      <c r="C72" s="7" t="s">
        <v>73</v>
      </c>
      <c r="D72" s="7" t="s">
        <v>10</v>
      </c>
      <c r="E72" s="41">
        <v>8325.42</v>
      </c>
      <c r="F72" s="41">
        <v>108</v>
      </c>
      <c r="G72" s="40"/>
    </row>
    <row r="73" spans="2:7" x14ac:dyDescent="0.25">
      <c r="B73" s="7">
        <v>69</v>
      </c>
      <c r="C73" s="8" t="s">
        <v>89</v>
      </c>
      <c r="D73" s="8" t="s">
        <v>10</v>
      </c>
      <c r="E73" s="41">
        <v>10.199999999999999</v>
      </c>
      <c r="F73" s="41">
        <v>812.79</v>
      </c>
      <c r="G73" s="40"/>
    </row>
    <row r="74" spans="2:7" x14ac:dyDescent="0.25">
      <c r="B74" s="7">
        <v>70</v>
      </c>
      <c r="C74" s="8" t="s">
        <v>91</v>
      </c>
      <c r="D74" s="8" t="s">
        <v>92</v>
      </c>
      <c r="E74" s="40">
        <v>89858</v>
      </c>
      <c r="F74" s="40"/>
      <c r="G74" s="40"/>
    </row>
    <row r="75" spans="2:7" x14ac:dyDescent="0.25">
      <c r="B75" s="7">
        <v>71</v>
      </c>
      <c r="C75" s="8" t="s">
        <v>105</v>
      </c>
      <c r="D75" s="8" t="s">
        <v>10</v>
      </c>
      <c r="E75" s="41"/>
      <c r="F75" s="41">
        <v>37.99</v>
      </c>
      <c r="G75" s="41"/>
    </row>
    <row r="76" spans="2:7" x14ac:dyDescent="0.25">
      <c r="B76" s="7">
        <v>72</v>
      </c>
      <c r="C76" s="8" t="s">
        <v>97</v>
      </c>
      <c r="D76" s="8" t="s">
        <v>92</v>
      </c>
      <c r="E76" s="40">
        <v>488028</v>
      </c>
      <c r="F76" s="40">
        <v>38936</v>
      </c>
      <c r="G76" s="41"/>
    </row>
    <row r="77" spans="2:7" x14ac:dyDescent="0.25">
      <c r="B77" s="7">
        <v>73</v>
      </c>
      <c r="C77" s="8" t="s">
        <v>98</v>
      </c>
      <c r="D77" s="8" t="s">
        <v>10</v>
      </c>
      <c r="E77" s="41">
        <v>326.13400000000001</v>
      </c>
      <c r="F77" s="41"/>
      <c r="G77" s="41"/>
    </row>
    <row r="78" spans="2:7" x14ac:dyDescent="0.25">
      <c r="B78" s="7">
        <v>74</v>
      </c>
      <c r="C78" s="8" t="s">
        <v>99</v>
      </c>
      <c r="D78" s="8" t="s">
        <v>9</v>
      </c>
      <c r="E78" s="40">
        <v>360</v>
      </c>
      <c r="F78" s="40">
        <v>10000</v>
      </c>
      <c r="G78" s="41"/>
    </row>
    <row r="79" spans="2:7" x14ac:dyDescent="0.25">
      <c r="B79" s="7">
        <v>75</v>
      </c>
      <c r="C79" s="8" t="s">
        <v>115</v>
      </c>
      <c r="D79" s="8" t="s">
        <v>116</v>
      </c>
      <c r="E79" s="40">
        <v>356931</v>
      </c>
      <c r="F79" s="40">
        <v>63573</v>
      </c>
      <c r="G79" s="40"/>
    </row>
    <row r="80" spans="2:7" x14ac:dyDescent="0.25">
      <c r="B80" s="7">
        <v>76</v>
      </c>
      <c r="C80" s="8" t="s">
        <v>127</v>
      </c>
      <c r="D80" s="8" t="s">
        <v>10</v>
      </c>
      <c r="E80" s="41">
        <v>6.3979999999999997</v>
      </c>
      <c r="F80" s="41"/>
      <c r="G80" s="41"/>
    </row>
    <row r="81" spans="2:7" x14ac:dyDescent="0.25">
      <c r="B81" s="7">
        <v>77</v>
      </c>
      <c r="C81" s="8" t="s">
        <v>128</v>
      </c>
      <c r="D81" s="8" t="s">
        <v>10</v>
      </c>
      <c r="E81" s="41"/>
      <c r="F81" s="41">
        <v>58.972000000000001</v>
      </c>
      <c r="G81" s="40"/>
    </row>
    <row r="82" spans="2:7" x14ac:dyDescent="0.25">
      <c r="B82" s="7">
        <v>78</v>
      </c>
      <c r="C82" s="8" t="s">
        <v>129</v>
      </c>
      <c r="D82" s="8" t="s">
        <v>10</v>
      </c>
      <c r="E82" s="41">
        <v>1.405</v>
      </c>
      <c r="F82" s="41">
        <v>12.55</v>
      </c>
      <c r="G82" s="40"/>
    </row>
    <row r="83" spans="2:7" x14ac:dyDescent="0.25">
      <c r="B83" s="7">
        <v>79</v>
      </c>
      <c r="C83" s="8" t="s">
        <v>130</v>
      </c>
      <c r="D83" s="8" t="s">
        <v>10</v>
      </c>
      <c r="E83" s="41">
        <v>545</v>
      </c>
      <c r="F83" s="41">
        <v>21</v>
      </c>
      <c r="G83" s="40"/>
    </row>
    <row r="84" spans="2:7" x14ac:dyDescent="0.25">
      <c r="B84" s="7">
        <v>80</v>
      </c>
      <c r="C84" s="8" t="s">
        <v>151</v>
      </c>
      <c r="D84" s="8" t="s">
        <v>10</v>
      </c>
      <c r="E84" s="41">
        <v>57.037999999999997</v>
      </c>
      <c r="F84" s="41">
        <v>540</v>
      </c>
      <c r="G84" s="40"/>
    </row>
    <row r="85" spans="2:7" x14ac:dyDescent="0.25">
      <c r="B85" s="7">
        <v>81</v>
      </c>
      <c r="C85" s="8" t="s">
        <v>152</v>
      </c>
      <c r="D85" s="8" t="s">
        <v>8</v>
      </c>
      <c r="E85" s="40">
        <v>1</v>
      </c>
      <c r="F85" s="40"/>
      <c r="G85" s="41"/>
    </row>
    <row r="86" spans="2:7" x14ac:dyDescent="0.25">
      <c r="B86" s="7">
        <v>82</v>
      </c>
      <c r="C86" s="8" t="s">
        <v>153</v>
      </c>
      <c r="D86" s="8" t="s">
        <v>8</v>
      </c>
      <c r="E86" s="40">
        <v>8</v>
      </c>
      <c r="F86" s="40">
        <v>3</v>
      </c>
      <c r="G86" s="40"/>
    </row>
    <row r="87" spans="2:7" x14ac:dyDescent="0.25">
      <c r="B87" s="7">
        <v>83</v>
      </c>
      <c r="C87" s="8" t="s">
        <v>154</v>
      </c>
      <c r="D87" s="8" t="s">
        <v>8</v>
      </c>
      <c r="E87" s="40"/>
      <c r="F87" s="40">
        <v>2</v>
      </c>
      <c r="G87" s="41"/>
    </row>
    <row r="88" spans="2:7" x14ac:dyDescent="0.25">
      <c r="B88" s="7">
        <v>84</v>
      </c>
      <c r="C88" s="8" t="s">
        <v>155</v>
      </c>
      <c r="D88" s="8" t="s">
        <v>116</v>
      </c>
      <c r="E88" s="40">
        <v>402775</v>
      </c>
      <c r="F88" s="40"/>
      <c r="G88" s="41"/>
    </row>
    <row r="89" spans="2:7" x14ac:dyDescent="0.25">
      <c r="B89" s="7">
        <v>85</v>
      </c>
      <c r="C89" s="8" t="s">
        <v>145</v>
      </c>
      <c r="D89" s="8" t="s">
        <v>9</v>
      </c>
      <c r="E89" s="40">
        <v>2500000</v>
      </c>
      <c r="F89" s="40"/>
      <c r="G89" s="40"/>
    </row>
    <row r="90" spans="2:7" x14ac:dyDescent="0.25">
      <c r="B90" s="7">
        <v>86</v>
      </c>
      <c r="C90" s="8" t="s">
        <v>157</v>
      </c>
      <c r="D90" s="8" t="s">
        <v>10</v>
      </c>
      <c r="E90" s="41">
        <v>21.757000000000001</v>
      </c>
      <c r="F90" s="41"/>
      <c r="G90" s="40"/>
    </row>
    <row r="91" spans="2:7" x14ac:dyDescent="0.25">
      <c r="B91" s="7">
        <v>87</v>
      </c>
      <c r="C91" s="8" t="s">
        <v>159</v>
      </c>
      <c r="D91" s="8" t="s">
        <v>8</v>
      </c>
      <c r="E91" s="40">
        <v>8</v>
      </c>
      <c r="F91" s="40"/>
      <c r="G91" s="40"/>
    </row>
    <row r="92" spans="2:7" x14ac:dyDescent="0.25">
      <c r="B92" s="7">
        <v>88</v>
      </c>
      <c r="C92" s="8" t="s">
        <v>160</v>
      </c>
      <c r="D92" s="8" t="s">
        <v>8</v>
      </c>
      <c r="E92" s="40">
        <v>7</v>
      </c>
      <c r="F92" s="40"/>
      <c r="G92" s="40"/>
    </row>
    <row r="93" spans="2:7" x14ac:dyDescent="0.25">
      <c r="B93" s="7">
        <v>89</v>
      </c>
      <c r="C93" s="8" t="s">
        <v>161</v>
      </c>
      <c r="D93" s="8" t="s">
        <v>9</v>
      </c>
      <c r="E93" s="40">
        <v>888</v>
      </c>
      <c r="F93" s="40">
        <v>13660</v>
      </c>
      <c r="G93" s="40"/>
    </row>
    <row r="94" spans="2:7" x14ac:dyDescent="0.25">
      <c r="B94" s="7">
        <v>90</v>
      </c>
      <c r="C94" s="8" t="s">
        <v>162</v>
      </c>
      <c r="D94" s="8" t="s">
        <v>8</v>
      </c>
      <c r="E94" s="40"/>
      <c r="F94" s="40">
        <v>3250</v>
      </c>
      <c r="G94" s="40"/>
    </row>
    <row r="95" spans="2:7" x14ac:dyDescent="0.25">
      <c r="B95" s="7">
        <v>91</v>
      </c>
      <c r="C95" s="8" t="s">
        <v>163</v>
      </c>
      <c r="D95" s="8" t="s">
        <v>8</v>
      </c>
      <c r="E95" s="40">
        <v>1000</v>
      </c>
      <c r="F95" s="40">
        <v>14080</v>
      </c>
      <c r="G95" s="40"/>
    </row>
    <row r="96" spans="2:7" x14ac:dyDescent="0.25">
      <c r="B96" s="7">
        <v>92</v>
      </c>
      <c r="C96" s="8" t="s">
        <v>172</v>
      </c>
      <c r="D96" s="8" t="s">
        <v>9</v>
      </c>
      <c r="E96" s="40">
        <v>450</v>
      </c>
      <c r="F96" s="40"/>
      <c r="G96" s="40"/>
    </row>
    <row r="97" spans="2:7" x14ac:dyDescent="0.25">
      <c r="B97" s="7">
        <v>93</v>
      </c>
      <c r="C97" s="8" t="s">
        <v>169</v>
      </c>
      <c r="D97" s="8" t="s">
        <v>10</v>
      </c>
      <c r="E97" s="41"/>
      <c r="F97" s="41">
        <v>1.5</v>
      </c>
      <c r="G97" s="41"/>
    </row>
    <row r="98" spans="2:7" x14ac:dyDescent="0.25">
      <c r="B98" s="7">
        <v>94</v>
      </c>
      <c r="C98" s="8" t="s">
        <v>174</v>
      </c>
      <c r="D98" s="8" t="s">
        <v>10</v>
      </c>
      <c r="E98" s="41">
        <v>77.524000000000001</v>
      </c>
      <c r="F98" s="41"/>
      <c r="G98" s="41"/>
    </row>
    <row r="99" spans="2:7" x14ac:dyDescent="0.25">
      <c r="B99" s="7">
        <v>95</v>
      </c>
      <c r="C99" s="8" t="s">
        <v>175</v>
      </c>
      <c r="D99" s="8" t="s">
        <v>10</v>
      </c>
      <c r="E99" s="41"/>
      <c r="F99" s="41">
        <v>2.0009999999999999</v>
      </c>
      <c r="G99" s="41"/>
    </row>
    <row r="100" spans="2:7" x14ac:dyDescent="0.25">
      <c r="B100" s="7">
        <v>96</v>
      </c>
      <c r="C100" s="8" t="s">
        <v>181</v>
      </c>
      <c r="D100" s="8" t="s">
        <v>8</v>
      </c>
      <c r="E100" s="40">
        <v>12</v>
      </c>
      <c r="F100" s="40">
        <v>28</v>
      </c>
      <c r="G100" s="41"/>
    </row>
    <row r="101" spans="2:7" x14ac:dyDescent="0.25">
      <c r="B101" s="7">
        <v>97</v>
      </c>
      <c r="C101" s="8" t="s">
        <v>182</v>
      </c>
      <c r="D101" s="8" t="s">
        <v>8</v>
      </c>
      <c r="E101" s="40">
        <v>120</v>
      </c>
      <c r="F101" s="40">
        <v>4500</v>
      </c>
      <c r="G101" s="8"/>
    </row>
    <row r="102" spans="2:7" x14ac:dyDescent="0.25">
      <c r="B102" s="7">
        <v>98</v>
      </c>
      <c r="C102" s="8" t="s">
        <v>194</v>
      </c>
      <c r="D102" s="8" t="s">
        <v>10</v>
      </c>
      <c r="E102" s="41">
        <v>18.600000000000001</v>
      </c>
      <c r="F102" s="41"/>
      <c r="G102" s="8"/>
    </row>
    <row r="103" spans="2:7" x14ac:dyDescent="0.25">
      <c r="B103" s="7">
        <v>99</v>
      </c>
      <c r="C103" s="8" t="s">
        <v>195</v>
      </c>
      <c r="D103" s="8" t="s">
        <v>10</v>
      </c>
      <c r="E103" s="41"/>
      <c r="F103" s="41">
        <v>1.1120000000000001</v>
      </c>
      <c r="G103" s="8"/>
    </row>
    <row r="104" spans="2:7" x14ac:dyDescent="0.25">
      <c r="B104" s="7">
        <v>100</v>
      </c>
      <c r="C104" s="8" t="s">
        <v>196</v>
      </c>
      <c r="D104" s="8" t="s">
        <v>8</v>
      </c>
      <c r="E104" s="40">
        <v>10</v>
      </c>
      <c r="F104" s="40">
        <v>40</v>
      </c>
      <c r="G104" s="8"/>
    </row>
    <row r="105" spans="2:7" x14ac:dyDescent="0.25">
      <c r="B105" s="7">
        <v>101</v>
      </c>
      <c r="C105" s="8" t="s">
        <v>197</v>
      </c>
      <c r="D105" s="8" t="s">
        <v>8</v>
      </c>
      <c r="E105" s="40">
        <v>8</v>
      </c>
      <c r="F105" s="40">
        <v>21</v>
      </c>
      <c r="G105" s="8"/>
    </row>
  </sheetData>
  <mergeCells count="7">
    <mergeCell ref="B15:D15"/>
    <mergeCell ref="B1:G1"/>
    <mergeCell ref="E2:F2"/>
    <mergeCell ref="B2:B3"/>
    <mergeCell ref="C2:C3"/>
    <mergeCell ref="D2:D3"/>
    <mergeCell ref="G2:G3"/>
  </mergeCells>
  <conditionalFormatting sqref="G9">
    <cfRule type="duplicateValues" dxfId="4" priority="2"/>
  </conditionalFormatting>
  <conditionalFormatting sqref="G12">
    <cfRule type="duplicateValues" dxfId="3" priority="1"/>
  </conditionalFormatting>
  <conditionalFormatting sqref="G13:G79 G4:G8 G10:G11">
    <cfRule type="duplicateValues" dxfId="2" priority="113"/>
  </conditionalFormatting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zoomScale="70" zoomScaleNormal="70" workbookViewId="0">
      <selection activeCell="H88" sqref="H88"/>
    </sheetView>
  </sheetViews>
  <sheetFormatPr defaultRowHeight="15" x14ac:dyDescent="0.25"/>
  <cols>
    <col min="1" max="1" width="5" bestFit="1" customWidth="1"/>
    <col min="2" max="2" width="51.140625" customWidth="1"/>
    <col min="3" max="3" width="6.28515625" bestFit="1" customWidth="1"/>
    <col min="4" max="4" width="13.140625" customWidth="1"/>
    <col min="5" max="5" width="10.28515625" customWidth="1"/>
    <col min="6" max="7" width="12.7109375" bestFit="1" customWidth="1"/>
    <col min="8" max="9" width="14" bestFit="1" customWidth="1"/>
    <col min="10" max="10" width="6.140625" customWidth="1"/>
    <col min="11" max="11" width="27.85546875" customWidth="1"/>
    <col min="12" max="12" width="4.140625" customWidth="1"/>
    <col min="13" max="13" width="14.140625" customWidth="1"/>
    <col min="14" max="14" width="14" customWidth="1"/>
  </cols>
  <sheetData>
    <row r="1" spans="1:9" ht="15.75" x14ac:dyDescent="0.25">
      <c r="A1" s="96" t="s">
        <v>206</v>
      </c>
      <c r="B1" s="96"/>
      <c r="C1" s="96"/>
      <c r="D1" s="96"/>
      <c r="E1" s="96"/>
      <c r="F1" s="96"/>
      <c r="G1" s="96"/>
      <c r="H1" s="96"/>
      <c r="I1" s="96"/>
    </row>
    <row r="2" spans="1:9" ht="31.9" customHeight="1" x14ac:dyDescent="0.25">
      <c r="A2" s="98" t="s">
        <v>19</v>
      </c>
      <c r="B2" s="98" t="s">
        <v>0</v>
      </c>
      <c r="C2" s="97" t="s">
        <v>124</v>
      </c>
      <c r="D2" s="99" t="s">
        <v>204</v>
      </c>
      <c r="E2" s="99"/>
      <c r="F2" s="99" t="s">
        <v>205</v>
      </c>
      <c r="G2" s="99"/>
      <c r="H2" s="97" t="s">
        <v>20</v>
      </c>
      <c r="I2" s="97"/>
    </row>
    <row r="3" spans="1:9" ht="28.15" customHeight="1" x14ac:dyDescent="0.25">
      <c r="A3" s="98"/>
      <c r="B3" s="98"/>
      <c r="C3" s="97"/>
      <c r="D3" s="69" t="s">
        <v>6</v>
      </c>
      <c r="E3" s="69" t="s">
        <v>7</v>
      </c>
      <c r="F3" s="69" t="s">
        <v>6</v>
      </c>
      <c r="G3" s="69" t="s">
        <v>7</v>
      </c>
      <c r="H3" s="69" t="s">
        <v>6</v>
      </c>
      <c r="I3" s="69" t="s">
        <v>7</v>
      </c>
    </row>
    <row r="4" spans="1:9" ht="15.75" x14ac:dyDescent="0.25">
      <c r="A4" s="7">
        <v>1</v>
      </c>
      <c r="B4" s="7" t="s">
        <v>13</v>
      </c>
      <c r="C4" s="7" t="s">
        <v>8</v>
      </c>
      <c r="D4" s="71">
        <f>19214+288</f>
        <v>19502</v>
      </c>
      <c r="E4" s="71">
        <v>130405</v>
      </c>
      <c r="F4" s="40">
        <v>40047</v>
      </c>
      <c r="G4" s="40">
        <v>43750</v>
      </c>
      <c r="H4" s="49">
        <f>F4-D4</f>
        <v>20545</v>
      </c>
      <c r="I4" s="49">
        <f>G4-E4</f>
        <v>-86655</v>
      </c>
    </row>
    <row r="5" spans="1:9" ht="15.75" x14ac:dyDescent="0.25">
      <c r="A5" s="7">
        <v>2</v>
      </c>
      <c r="B5" s="7" t="s">
        <v>14</v>
      </c>
      <c r="C5" s="7" t="s">
        <v>8</v>
      </c>
      <c r="D5" s="71">
        <v>200</v>
      </c>
      <c r="E5" s="71">
        <v>111466</v>
      </c>
      <c r="F5" s="40">
        <v>1301</v>
      </c>
      <c r="G5" s="40">
        <v>48946</v>
      </c>
      <c r="H5" s="49">
        <f t="shared" ref="H5:I14" si="0">F5-D5</f>
        <v>1101</v>
      </c>
      <c r="I5" s="49">
        <f t="shared" si="0"/>
        <v>-62520</v>
      </c>
    </row>
    <row r="6" spans="1:9" ht="15.75" x14ac:dyDescent="0.25">
      <c r="A6" s="7">
        <v>3</v>
      </c>
      <c r="B6" s="7" t="s">
        <v>86</v>
      </c>
      <c r="C6" s="7" t="s">
        <v>8</v>
      </c>
      <c r="D6" s="71">
        <v>4882</v>
      </c>
      <c r="E6" s="71">
        <v>6630</v>
      </c>
      <c r="F6" s="40">
        <v>9389</v>
      </c>
      <c r="G6" s="40">
        <v>1823</v>
      </c>
      <c r="H6" s="49">
        <f t="shared" si="0"/>
        <v>4507</v>
      </c>
      <c r="I6" s="49">
        <f t="shared" si="0"/>
        <v>-4807</v>
      </c>
    </row>
    <row r="7" spans="1:9" ht="15.75" x14ac:dyDescent="0.25">
      <c r="A7" s="7">
        <v>4</v>
      </c>
      <c r="B7" s="7" t="s">
        <v>77</v>
      </c>
      <c r="C7" s="7" t="s">
        <v>8</v>
      </c>
      <c r="D7" s="71">
        <v>1355</v>
      </c>
      <c r="E7" s="71"/>
      <c r="F7" s="40">
        <v>2307</v>
      </c>
      <c r="G7" s="40"/>
      <c r="H7" s="49">
        <f t="shared" si="0"/>
        <v>952</v>
      </c>
      <c r="I7" s="49"/>
    </row>
    <row r="8" spans="1:9" ht="15.75" x14ac:dyDescent="0.25">
      <c r="A8" s="7">
        <v>5</v>
      </c>
      <c r="B8" s="7" t="s">
        <v>22</v>
      </c>
      <c r="C8" s="7" t="s">
        <v>10</v>
      </c>
      <c r="D8" s="66">
        <v>67601.910090000005</v>
      </c>
      <c r="E8" s="66">
        <v>9352.9989999999998</v>
      </c>
      <c r="F8" s="41">
        <v>80890.200209999995</v>
      </c>
      <c r="G8" s="41">
        <v>6012.3029999999999</v>
      </c>
      <c r="H8" s="59">
        <f t="shared" si="0"/>
        <v>13288.290119999991</v>
      </c>
      <c r="I8" s="59">
        <f t="shared" si="0"/>
        <v>-3340.6959999999999</v>
      </c>
    </row>
    <row r="9" spans="1:9" ht="15.75" x14ac:dyDescent="0.25">
      <c r="A9" s="7">
        <v>6</v>
      </c>
      <c r="B9" s="7" t="s">
        <v>142</v>
      </c>
      <c r="C9" s="7" t="s">
        <v>10</v>
      </c>
      <c r="D9" s="66">
        <v>294.06899999999996</v>
      </c>
      <c r="E9" s="66">
        <v>29.996000000000002</v>
      </c>
      <c r="F9" s="41">
        <v>1541.7889999999998</v>
      </c>
      <c r="G9" s="41">
        <v>138.43</v>
      </c>
      <c r="H9" s="59">
        <f t="shared" si="0"/>
        <v>1247.7199999999998</v>
      </c>
      <c r="I9" s="59">
        <f t="shared" si="0"/>
        <v>108.434</v>
      </c>
    </row>
    <row r="10" spans="1:9" ht="15.75" x14ac:dyDescent="0.25">
      <c r="A10" s="7">
        <v>7</v>
      </c>
      <c r="B10" s="8" t="s">
        <v>96</v>
      </c>
      <c r="C10" s="8" t="s">
        <v>10</v>
      </c>
      <c r="D10" s="66">
        <v>705.89700000000005</v>
      </c>
      <c r="E10" s="66">
        <v>1.7</v>
      </c>
      <c r="F10" s="41">
        <v>861.54899999999998</v>
      </c>
      <c r="G10" s="41"/>
      <c r="H10" s="59">
        <f t="shared" si="0"/>
        <v>155.65199999999993</v>
      </c>
      <c r="I10" s="59">
        <f t="shared" si="0"/>
        <v>-1.7</v>
      </c>
    </row>
    <row r="11" spans="1:9" ht="15.75" x14ac:dyDescent="0.25">
      <c r="A11" s="7">
        <v>8</v>
      </c>
      <c r="B11" s="8" t="s">
        <v>113</v>
      </c>
      <c r="C11" s="8" t="s">
        <v>10</v>
      </c>
      <c r="D11" s="66">
        <v>176.81</v>
      </c>
      <c r="E11" s="66">
        <v>168.571</v>
      </c>
      <c r="F11" s="41">
        <v>458.13499999999999</v>
      </c>
      <c r="G11" s="41"/>
      <c r="H11" s="59">
        <f t="shared" si="0"/>
        <v>281.32499999999999</v>
      </c>
      <c r="I11" s="59">
        <f t="shared" si="0"/>
        <v>-168.571</v>
      </c>
    </row>
    <row r="12" spans="1:9" ht="15.75" x14ac:dyDescent="0.25">
      <c r="A12" s="7">
        <v>9</v>
      </c>
      <c r="B12" s="7" t="s">
        <v>28</v>
      </c>
      <c r="C12" s="7" t="s">
        <v>10</v>
      </c>
      <c r="D12" s="66">
        <v>1074.4390000000001</v>
      </c>
      <c r="E12" s="66">
        <v>57.444999999999993</v>
      </c>
      <c r="F12" s="41">
        <v>2049.3919999999998</v>
      </c>
      <c r="G12" s="41">
        <v>56.728999999999999</v>
      </c>
      <c r="H12" s="59">
        <f t="shared" si="0"/>
        <v>974.95299999999975</v>
      </c>
      <c r="I12" s="59">
        <f t="shared" si="0"/>
        <v>-0.71599999999999397</v>
      </c>
    </row>
    <row r="13" spans="1:9" ht="15.75" x14ac:dyDescent="0.25">
      <c r="A13" s="7">
        <v>10</v>
      </c>
      <c r="B13" s="8" t="s">
        <v>90</v>
      </c>
      <c r="C13" s="8" t="s">
        <v>10</v>
      </c>
      <c r="D13" s="66">
        <v>183.58459999999999</v>
      </c>
      <c r="E13" s="66">
        <v>1.36</v>
      </c>
      <c r="F13" s="41">
        <v>527.94399999999996</v>
      </c>
      <c r="G13" s="41"/>
      <c r="H13" s="59">
        <f t="shared" si="0"/>
        <v>344.35939999999994</v>
      </c>
      <c r="I13" s="59">
        <f t="shared" si="0"/>
        <v>-1.36</v>
      </c>
    </row>
    <row r="14" spans="1:9" ht="15.75" x14ac:dyDescent="0.25">
      <c r="A14" s="7">
        <v>11</v>
      </c>
      <c r="B14" s="7" t="s">
        <v>27</v>
      </c>
      <c r="C14" s="7" t="s">
        <v>10</v>
      </c>
      <c r="D14" s="66">
        <v>13745.472999999998</v>
      </c>
      <c r="E14" s="66">
        <v>26101.505999999994</v>
      </c>
      <c r="F14" s="64">
        <v>18487.975640000001</v>
      </c>
      <c r="G14" s="64">
        <v>31166.265610000002</v>
      </c>
      <c r="H14" s="59">
        <f t="shared" si="0"/>
        <v>4742.5026400000024</v>
      </c>
      <c r="I14" s="59">
        <f t="shared" si="0"/>
        <v>5064.7596100000083</v>
      </c>
    </row>
    <row r="15" spans="1:9" ht="15.75" x14ac:dyDescent="0.25">
      <c r="A15" s="95" t="s">
        <v>125</v>
      </c>
      <c r="B15" s="95"/>
      <c r="C15" s="95"/>
      <c r="D15" s="40"/>
      <c r="E15" s="40"/>
      <c r="F15" s="40"/>
      <c r="G15" s="40"/>
      <c r="H15" s="49"/>
      <c r="I15" s="49"/>
    </row>
    <row r="16" spans="1:9" ht="15.75" x14ac:dyDescent="0.25">
      <c r="A16" s="7">
        <v>12</v>
      </c>
      <c r="B16" s="51" t="s">
        <v>26</v>
      </c>
      <c r="C16" s="7" t="s">
        <v>10</v>
      </c>
      <c r="D16" s="66">
        <v>1160.597</v>
      </c>
      <c r="E16" s="66">
        <v>1018.835</v>
      </c>
      <c r="F16" s="41">
        <v>1643.5426400000001</v>
      </c>
      <c r="G16" s="41">
        <v>1921.9540000000002</v>
      </c>
      <c r="H16" s="59">
        <f t="shared" ref="H16:I68" si="1">F16-D16</f>
        <v>482.94564000000014</v>
      </c>
      <c r="I16" s="59">
        <f t="shared" si="1"/>
        <v>903.11900000000014</v>
      </c>
    </row>
    <row r="17" spans="1:9" ht="15.75" x14ac:dyDescent="0.25">
      <c r="A17" s="7">
        <v>13</v>
      </c>
      <c r="B17" s="51" t="s">
        <v>34</v>
      </c>
      <c r="C17" s="7" t="s">
        <v>10</v>
      </c>
      <c r="D17" s="66">
        <v>2.25</v>
      </c>
      <c r="E17" s="66">
        <v>119.52700000000002</v>
      </c>
      <c r="F17" s="41"/>
      <c r="G17" s="41">
        <v>46.209999999999994</v>
      </c>
      <c r="H17" s="59">
        <f t="shared" si="1"/>
        <v>-2.25</v>
      </c>
      <c r="I17" s="59">
        <f t="shared" si="1"/>
        <v>-73.317000000000021</v>
      </c>
    </row>
    <row r="18" spans="1:9" ht="15.75" x14ac:dyDescent="0.25">
      <c r="A18" s="7">
        <v>14</v>
      </c>
      <c r="B18" s="51" t="s">
        <v>104</v>
      </c>
      <c r="C18" s="7" t="s">
        <v>10</v>
      </c>
      <c r="D18" s="66"/>
      <c r="E18" s="66">
        <v>3.266</v>
      </c>
      <c r="F18" s="41"/>
      <c r="G18" s="41">
        <v>1.7770000000000001</v>
      </c>
      <c r="H18" s="59"/>
      <c r="I18" s="59">
        <f t="shared" si="1"/>
        <v>-1.4889999999999999</v>
      </c>
    </row>
    <row r="19" spans="1:9" ht="15.75" x14ac:dyDescent="0.25">
      <c r="A19" s="7">
        <v>15</v>
      </c>
      <c r="B19" s="51" t="s">
        <v>43</v>
      </c>
      <c r="C19" s="7" t="s">
        <v>10</v>
      </c>
      <c r="D19" s="66">
        <v>275.892</v>
      </c>
      <c r="E19" s="66">
        <v>1796.9080000000001</v>
      </c>
      <c r="F19" s="41">
        <v>151.47999999999999</v>
      </c>
      <c r="G19" s="41">
        <v>1881.395</v>
      </c>
      <c r="H19" s="59">
        <f t="shared" si="1"/>
        <v>-124.41200000000001</v>
      </c>
      <c r="I19" s="59">
        <f t="shared" si="1"/>
        <v>84.486999999999853</v>
      </c>
    </row>
    <row r="20" spans="1:9" ht="15.75" x14ac:dyDescent="0.25">
      <c r="A20" s="7">
        <v>16</v>
      </c>
      <c r="B20" s="51" t="s">
        <v>65</v>
      </c>
      <c r="C20" s="7" t="s">
        <v>10</v>
      </c>
      <c r="D20" s="66">
        <v>1933.7230000000002</v>
      </c>
      <c r="E20" s="66">
        <v>4447.9519999999993</v>
      </c>
      <c r="F20" s="41">
        <v>3204.7370000000001</v>
      </c>
      <c r="G20" s="41">
        <v>3828.7740000000003</v>
      </c>
      <c r="H20" s="59">
        <f t="shared" si="1"/>
        <v>1271.0139999999999</v>
      </c>
      <c r="I20" s="59">
        <f t="shared" si="1"/>
        <v>-619.17799999999897</v>
      </c>
    </row>
    <row r="21" spans="1:9" ht="15.75" x14ac:dyDescent="0.25">
      <c r="A21" s="7">
        <v>17</v>
      </c>
      <c r="B21" s="51" t="s">
        <v>62</v>
      </c>
      <c r="C21" s="7" t="s">
        <v>10</v>
      </c>
      <c r="D21" s="66">
        <v>670.76400000000001</v>
      </c>
      <c r="E21" s="66"/>
      <c r="F21" s="41">
        <v>1086.2350000000001</v>
      </c>
      <c r="G21" s="41"/>
      <c r="H21" s="59">
        <f t="shared" si="1"/>
        <v>415.47100000000012</v>
      </c>
      <c r="I21" s="59"/>
    </row>
    <row r="22" spans="1:9" ht="15.75" x14ac:dyDescent="0.25">
      <c r="A22" s="7">
        <v>18</v>
      </c>
      <c r="B22" s="51" t="s">
        <v>76</v>
      </c>
      <c r="C22" s="7" t="s">
        <v>10</v>
      </c>
      <c r="D22" s="66">
        <v>184.23000000000002</v>
      </c>
      <c r="E22" s="66">
        <v>660.04</v>
      </c>
      <c r="F22" s="41">
        <v>338.00900000000001</v>
      </c>
      <c r="G22" s="41">
        <v>0.4</v>
      </c>
      <c r="H22" s="59">
        <f t="shared" si="1"/>
        <v>153.779</v>
      </c>
      <c r="I22" s="59">
        <f t="shared" si="1"/>
        <v>-659.64</v>
      </c>
    </row>
    <row r="23" spans="1:9" ht="15.75" x14ac:dyDescent="0.25">
      <c r="A23" s="7">
        <v>19</v>
      </c>
      <c r="B23" s="39" t="s">
        <v>93</v>
      </c>
      <c r="C23" s="8" t="s">
        <v>10</v>
      </c>
      <c r="D23" s="66">
        <v>534.47399999999993</v>
      </c>
      <c r="E23" s="66">
        <v>763.36900000000003</v>
      </c>
      <c r="F23" s="41">
        <v>2171.049</v>
      </c>
      <c r="G23" s="41">
        <v>459.08000000000004</v>
      </c>
      <c r="H23" s="59">
        <f t="shared" si="1"/>
        <v>1636.575</v>
      </c>
      <c r="I23" s="59">
        <f t="shared" si="1"/>
        <v>-304.28899999999999</v>
      </c>
    </row>
    <row r="24" spans="1:9" ht="15.75" x14ac:dyDescent="0.25">
      <c r="A24" s="7">
        <v>20</v>
      </c>
      <c r="B24" s="39" t="s">
        <v>94</v>
      </c>
      <c r="C24" s="8" t="s">
        <v>10</v>
      </c>
      <c r="D24" s="66">
        <v>196.41</v>
      </c>
      <c r="E24" s="66"/>
      <c r="F24" s="41">
        <v>56.179899999999996</v>
      </c>
      <c r="G24" s="41"/>
      <c r="H24" s="59">
        <f t="shared" si="1"/>
        <v>-140.23009999999999</v>
      </c>
      <c r="I24" s="59"/>
    </row>
    <row r="25" spans="1:9" ht="15.75" x14ac:dyDescent="0.25">
      <c r="A25" s="7">
        <v>21</v>
      </c>
      <c r="B25" s="39" t="s">
        <v>126</v>
      </c>
      <c r="C25" s="8" t="s">
        <v>10</v>
      </c>
      <c r="D25" s="66">
        <v>101.03200000000001</v>
      </c>
      <c r="E25" s="66"/>
      <c r="F25" s="41">
        <v>294.64499999999998</v>
      </c>
      <c r="G25" s="41"/>
      <c r="H25" s="59">
        <f t="shared" si="1"/>
        <v>193.61299999999997</v>
      </c>
      <c r="I25" s="59"/>
    </row>
    <row r="26" spans="1:9" ht="15.75" x14ac:dyDescent="0.25">
      <c r="A26" s="7">
        <v>22</v>
      </c>
      <c r="B26" s="39" t="s">
        <v>150</v>
      </c>
      <c r="C26" s="8" t="s">
        <v>10</v>
      </c>
      <c r="D26" s="66">
        <v>161.4</v>
      </c>
      <c r="E26" s="66">
        <v>30</v>
      </c>
      <c r="F26" s="41">
        <v>229.17400000000001</v>
      </c>
      <c r="G26" s="41">
        <v>66</v>
      </c>
      <c r="H26" s="59">
        <f t="shared" si="1"/>
        <v>67.774000000000001</v>
      </c>
      <c r="I26" s="59">
        <f t="shared" si="1"/>
        <v>36</v>
      </c>
    </row>
    <row r="27" spans="1:9" ht="15.75" x14ac:dyDescent="0.25">
      <c r="A27" s="7">
        <v>23</v>
      </c>
      <c r="B27" s="51" t="s">
        <v>69</v>
      </c>
      <c r="C27" s="7" t="s">
        <v>10</v>
      </c>
      <c r="D27" s="66">
        <v>471.10200000000009</v>
      </c>
      <c r="E27" s="66"/>
      <c r="F27" s="41">
        <v>1798.8949999999998</v>
      </c>
      <c r="G27" s="41">
        <v>0.123</v>
      </c>
      <c r="H27" s="59">
        <f t="shared" si="1"/>
        <v>1327.7929999999997</v>
      </c>
      <c r="I27" s="59">
        <f t="shared" si="1"/>
        <v>0.123</v>
      </c>
    </row>
    <row r="28" spans="1:9" ht="15.75" x14ac:dyDescent="0.25">
      <c r="A28" s="7">
        <v>24</v>
      </c>
      <c r="B28" s="39" t="s">
        <v>158</v>
      </c>
      <c r="C28" s="8" t="s">
        <v>10</v>
      </c>
      <c r="D28" s="66">
        <v>6</v>
      </c>
      <c r="E28" s="66"/>
      <c r="F28" s="41">
        <v>14.66</v>
      </c>
      <c r="G28" s="41">
        <v>0.68700000000000006</v>
      </c>
      <c r="H28" s="59">
        <f t="shared" si="1"/>
        <v>8.66</v>
      </c>
      <c r="I28" s="59">
        <f t="shared" si="1"/>
        <v>0.68700000000000006</v>
      </c>
    </row>
    <row r="29" spans="1:9" ht="15.75" x14ac:dyDescent="0.25">
      <c r="A29" s="7">
        <v>25</v>
      </c>
      <c r="B29" s="7" t="s">
        <v>61</v>
      </c>
      <c r="C29" s="7" t="s">
        <v>10</v>
      </c>
      <c r="D29" s="66">
        <v>159.27699999999999</v>
      </c>
      <c r="E29" s="66">
        <v>92.096000000000004</v>
      </c>
      <c r="F29" s="41">
        <v>657.24099999999999</v>
      </c>
      <c r="G29" s="41">
        <v>357.01100000000002</v>
      </c>
      <c r="H29" s="59">
        <f t="shared" si="1"/>
        <v>497.964</v>
      </c>
      <c r="I29" s="59">
        <f t="shared" si="1"/>
        <v>264.91500000000002</v>
      </c>
    </row>
    <row r="30" spans="1:9" ht="15.75" x14ac:dyDescent="0.25">
      <c r="A30" s="7">
        <v>26</v>
      </c>
      <c r="B30" s="7" t="s">
        <v>29</v>
      </c>
      <c r="C30" s="7" t="s">
        <v>10</v>
      </c>
      <c r="D30" s="66">
        <v>323.04300000000001</v>
      </c>
      <c r="E30" s="66">
        <v>877.48400000000004</v>
      </c>
      <c r="F30" s="41">
        <v>447.40499999999997</v>
      </c>
      <c r="G30" s="41">
        <v>566.46</v>
      </c>
      <c r="H30" s="59">
        <f t="shared" si="1"/>
        <v>124.36199999999997</v>
      </c>
      <c r="I30" s="59">
        <f t="shared" si="1"/>
        <v>-311.024</v>
      </c>
    </row>
    <row r="31" spans="1:9" ht="15.75" x14ac:dyDescent="0.25">
      <c r="A31" s="7">
        <v>27</v>
      </c>
      <c r="B31" s="7" t="s">
        <v>30</v>
      </c>
      <c r="C31" s="7" t="s">
        <v>10</v>
      </c>
      <c r="D31" s="66">
        <v>6025.8563399999994</v>
      </c>
      <c r="E31" s="66">
        <v>1765.6959999999997</v>
      </c>
      <c r="F31" s="41">
        <v>7527.0582050000012</v>
      </c>
      <c r="G31" s="41">
        <v>219.273</v>
      </c>
      <c r="H31" s="59">
        <f t="shared" si="1"/>
        <v>1501.2018650000018</v>
      </c>
      <c r="I31" s="59">
        <f t="shared" si="1"/>
        <v>-1546.4229999999998</v>
      </c>
    </row>
    <row r="32" spans="1:9" ht="15.75" x14ac:dyDescent="0.25">
      <c r="A32" s="7">
        <v>28</v>
      </c>
      <c r="B32" s="7" t="s">
        <v>31</v>
      </c>
      <c r="C32" s="7" t="s">
        <v>10</v>
      </c>
      <c r="D32" s="66">
        <v>733.44799999999987</v>
      </c>
      <c r="E32" s="66"/>
      <c r="F32" s="41">
        <v>1095.816</v>
      </c>
      <c r="G32" s="41"/>
      <c r="H32" s="59">
        <f t="shared" si="1"/>
        <v>362.36800000000017</v>
      </c>
      <c r="I32" s="59"/>
    </row>
    <row r="33" spans="1:9" ht="15.75" x14ac:dyDescent="0.25">
      <c r="A33" s="7">
        <v>29</v>
      </c>
      <c r="B33" s="7" t="s">
        <v>32</v>
      </c>
      <c r="C33" s="7" t="s">
        <v>9</v>
      </c>
      <c r="D33" s="71">
        <v>27054360</v>
      </c>
      <c r="E33" s="71">
        <v>56600</v>
      </c>
      <c r="F33" s="40">
        <v>1836000</v>
      </c>
      <c r="G33" s="40">
        <v>12772800</v>
      </c>
      <c r="H33" s="49">
        <f t="shared" si="1"/>
        <v>-25218360</v>
      </c>
      <c r="I33" s="49">
        <f t="shared" si="1"/>
        <v>12716200</v>
      </c>
    </row>
    <row r="34" spans="1:9" ht="15.75" x14ac:dyDescent="0.25">
      <c r="A34" s="7">
        <v>30</v>
      </c>
      <c r="B34" s="7" t="s">
        <v>33</v>
      </c>
      <c r="C34" s="7" t="s">
        <v>9</v>
      </c>
      <c r="D34" s="71">
        <v>5113800</v>
      </c>
      <c r="E34" s="71"/>
      <c r="F34" s="40">
        <v>5896578</v>
      </c>
      <c r="G34" s="40"/>
      <c r="H34" s="49">
        <f t="shared" si="1"/>
        <v>782778</v>
      </c>
      <c r="I34" s="49"/>
    </row>
    <row r="35" spans="1:9" ht="15.75" x14ac:dyDescent="0.25">
      <c r="A35" s="7">
        <v>31</v>
      </c>
      <c r="B35" s="7" t="s">
        <v>63</v>
      </c>
      <c r="C35" s="7" t="s">
        <v>10</v>
      </c>
      <c r="D35" s="66"/>
      <c r="E35" s="66">
        <v>361.07000000000005</v>
      </c>
      <c r="F35" s="41"/>
      <c r="G35" s="41">
        <v>948.62300000000005</v>
      </c>
      <c r="H35" s="59"/>
      <c r="I35" s="59">
        <f t="shared" si="1"/>
        <v>587.553</v>
      </c>
    </row>
    <row r="36" spans="1:9" ht="15.75" x14ac:dyDescent="0.25">
      <c r="A36" s="7">
        <v>32</v>
      </c>
      <c r="B36" s="7" t="s">
        <v>74</v>
      </c>
      <c r="C36" s="7" t="s">
        <v>9</v>
      </c>
      <c r="D36" s="71">
        <v>15700</v>
      </c>
      <c r="E36" s="71"/>
      <c r="F36" s="40">
        <v>28600</v>
      </c>
      <c r="G36" s="40"/>
      <c r="H36" s="49">
        <f t="shared" si="1"/>
        <v>12900</v>
      </c>
      <c r="I36" s="49"/>
    </row>
    <row r="37" spans="1:9" ht="15.75" x14ac:dyDescent="0.25">
      <c r="A37" s="7">
        <v>33</v>
      </c>
      <c r="B37" s="7" t="s">
        <v>41</v>
      </c>
      <c r="C37" s="7" t="s">
        <v>10</v>
      </c>
      <c r="D37" s="66">
        <v>65.159000000000006</v>
      </c>
      <c r="E37" s="66">
        <v>517.76499999999999</v>
      </c>
      <c r="F37" s="41">
        <v>201.34800000000001</v>
      </c>
      <c r="G37" s="41">
        <v>513.04199999999992</v>
      </c>
      <c r="H37" s="59">
        <f t="shared" si="1"/>
        <v>136.18900000000002</v>
      </c>
      <c r="I37" s="59">
        <f t="shared" si="1"/>
        <v>-4.72300000000007</v>
      </c>
    </row>
    <row r="38" spans="1:9" ht="15.75" x14ac:dyDescent="0.25">
      <c r="A38" s="7">
        <v>34</v>
      </c>
      <c r="B38" s="8" t="s">
        <v>95</v>
      </c>
      <c r="C38" s="8" t="s">
        <v>10</v>
      </c>
      <c r="D38" s="66"/>
      <c r="E38" s="66">
        <v>3603.4759999999997</v>
      </c>
      <c r="F38" s="41"/>
      <c r="G38" s="41">
        <v>2603.1999999999998</v>
      </c>
      <c r="H38" s="59"/>
      <c r="I38" s="59">
        <f t="shared" si="1"/>
        <v>-1000.2759999999998</v>
      </c>
    </row>
    <row r="39" spans="1:9" ht="15.75" x14ac:dyDescent="0.25">
      <c r="A39" s="7">
        <v>35</v>
      </c>
      <c r="B39" s="8" t="s">
        <v>106</v>
      </c>
      <c r="C39" s="8" t="s">
        <v>9</v>
      </c>
      <c r="D39" s="71"/>
      <c r="E39" s="71">
        <v>62732</v>
      </c>
      <c r="F39" s="40"/>
      <c r="G39" s="40">
        <v>34130</v>
      </c>
      <c r="H39" s="49"/>
      <c r="I39" s="49">
        <f t="shared" si="1"/>
        <v>-28602</v>
      </c>
    </row>
    <row r="40" spans="1:9" ht="15.75" x14ac:dyDescent="0.25">
      <c r="A40" s="7">
        <v>36</v>
      </c>
      <c r="B40" s="8" t="s">
        <v>107</v>
      </c>
      <c r="C40" s="8" t="s">
        <v>9</v>
      </c>
      <c r="D40" s="40"/>
      <c r="E40" s="40"/>
      <c r="F40" s="40"/>
      <c r="G40" s="40">
        <v>6529</v>
      </c>
      <c r="H40" s="49"/>
      <c r="I40" s="49">
        <f t="shared" si="1"/>
        <v>6529</v>
      </c>
    </row>
    <row r="41" spans="1:9" ht="15.75" x14ac:dyDescent="0.25">
      <c r="A41" s="7">
        <v>37</v>
      </c>
      <c r="B41" s="8" t="s">
        <v>131</v>
      </c>
      <c r="C41" s="8" t="s">
        <v>9</v>
      </c>
      <c r="D41" s="71">
        <v>4800</v>
      </c>
      <c r="E41" s="71">
        <v>23850</v>
      </c>
      <c r="F41" s="40"/>
      <c r="G41" s="40">
        <v>31909</v>
      </c>
      <c r="H41" s="49">
        <f t="shared" si="1"/>
        <v>-4800</v>
      </c>
      <c r="I41" s="49">
        <f t="shared" si="1"/>
        <v>8059</v>
      </c>
    </row>
    <row r="42" spans="1:9" ht="15.75" x14ac:dyDescent="0.25">
      <c r="A42" s="7">
        <v>38</v>
      </c>
      <c r="B42" s="8" t="s">
        <v>176</v>
      </c>
      <c r="C42" s="8" t="s">
        <v>10</v>
      </c>
      <c r="D42" s="41">
        <v>41.436</v>
      </c>
      <c r="E42" s="41"/>
      <c r="F42" s="41"/>
      <c r="G42" s="41">
        <v>113.6</v>
      </c>
      <c r="H42" s="59">
        <f t="shared" si="1"/>
        <v>-41.436</v>
      </c>
      <c r="I42" s="59">
        <f t="shared" si="1"/>
        <v>113.6</v>
      </c>
    </row>
    <row r="43" spans="1:9" ht="15.75" x14ac:dyDescent="0.25">
      <c r="A43" s="7">
        <v>39</v>
      </c>
      <c r="B43" s="8" t="s">
        <v>164</v>
      </c>
      <c r="C43" s="8" t="s">
        <v>9</v>
      </c>
      <c r="D43" s="40"/>
      <c r="E43" s="40"/>
      <c r="F43" s="40">
        <v>5000</v>
      </c>
      <c r="G43" s="40"/>
      <c r="H43" s="49">
        <f t="shared" si="1"/>
        <v>5000</v>
      </c>
      <c r="I43" s="49"/>
    </row>
    <row r="44" spans="1:9" ht="15.75" x14ac:dyDescent="0.25">
      <c r="A44" s="7">
        <v>40</v>
      </c>
      <c r="B44" s="8" t="s">
        <v>173</v>
      </c>
      <c r="C44" s="8" t="s">
        <v>10</v>
      </c>
      <c r="D44" s="41">
        <v>15</v>
      </c>
      <c r="E44" s="41"/>
      <c r="F44" s="41"/>
      <c r="G44" s="41">
        <v>8.6000000000000007E-2</v>
      </c>
      <c r="H44" s="59">
        <f t="shared" si="1"/>
        <v>-15</v>
      </c>
      <c r="I44" s="59">
        <f t="shared" si="1"/>
        <v>8.6000000000000007E-2</v>
      </c>
    </row>
    <row r="45" spans="1:9" ht="15.75" x14ac:dyDescent="0.25">
      <c r="A45" s="7">
        <v>41</v>
      </c>
      <c r="B45" s="8" t="s">
        <v>148</v>
      </c>
      <c r="C45" s="8" t="s">
        <v>10</v>
      </c>
      <c r="D45" s="41">
        <v>115</v>
      </c>
      <c r="E45" s="41">
        <v>82.61</v>
      </c>
      <c r="F45" s="41">
        <v>25</v>
      </c>
      <c r="G45" s="41">
        <v>55.670999999999999</v>
      </c>
      <c r="H45" s="59">
        <f t="shared" si="1"/>
        <v>-90</v>
      </c>
      <c r="I45" s="59">
        <f t="shared" si="1"/>
        <v>-26.939</v>
      </c>
    </row>
    <row r="46" spans="1:9" ht="15.75" x14ac:dyDescent="0.25">
      <c r="A46" s="7">
        <v>42</v>
      </c>
      <c r="B46" s="7" t="s">
        <v>78</v>
      </c>
      <c r="C46" s="7" t="s">
        <v>9</v>
      </c>
      <c r="D46" s="40">
        <v>53635</v>
      </c>
      <c r="E46" s="40">
        <v>3000</v>
      </c>
      <c r="F46" s="40">
        <v>108035</v>
      </c>
      <c r="G46" s="40">
        <v>11240</v>
      </c>
      <c r="H46" s="49">
        <f t="shared" si="1"/>
        <v>54400</v>
      </c>
      <c r="I46" s="49">
        <f t="shared" si="1"/>
        <v>8240</v>
      </c>
    </row>
    <row r="47" spans="1:9" ht="15.75" x14ac:dyDescent="0.25">
      <c r="A47" s="7">
        <v>43</v>
      </c>
      <c r="B47" s="7" t="s">
        <v>72</v>
      </c>
      <c r="C47" s="7" t="s">
        <v>10</v>
      </c>
      <c r="D47" s="41">
        <v>253.2</v>
      </c>
      <c r="E47" s="41">
        <v>2</v>
      </c>
      <c r="F47" s="41">
        <v>519.53</v>
      </c>
      <c r="G47" s="41"/>
      <c r="H47" s="59">
        <f t="shared" si="1"/>
        <v>266.33</v>
      </c>
      <c r="I47" s="59">
        <f t="shared" si="1"/>
        <v>-2</v>
      </c>
    </row>
    <row r="48" spans="1:9" ht="15.75" x14ac:dyDescent="0.25">
      <c r="A48" s="7">
        <v>44</v>
      </c>
      <c r="B48" s="7" t="s">
        <v>24</v>
      </c>
      <c r="C48" s="7" t="s">
        <v>10</v>
      </c>
      <c r="D48" s="41">
        <v>1055.0730000000001</v>
      </c>
      <c r="E48" s="41">
        <v>4</v>
      </c>
      <c r="F48" s="41">
        <v>5294.9369999999999</v>
      </c>
      <c r="G48" s="41">
        <v>212.125</v>
      </c>
      <c r="H48" s="59">
        <f t="shared" si="1"/>
        <v>4239.8639999999996</v>
      </c>
      <c r="I48" s="59">
        <f t="shared" si="1"/>
        <v>208.125</v>
      </c>
    </row>
    <row r="49" spans="1:9" ht="15.75" x14ac:dyDescent="0.25">
      <c r="A49" s="7">
        <v>45</v>
      </c>
      <c r="B49" s="7" t="s">
        <v>42</v>
      </c>
      <c r="C49" s="7" t="s">
        <v>10</v>
      </c>
      <c r="D49" s="41">
        <v>29928.747999999992</v>
      </c>
      <c r="E49" s="41">
        <v>60.850999999999999</v>
      </c>
      <c r="F49" s="41">
        <v>27485.363000000001</v>
      </c>
      <c r="G49" s="41"/>
      <c r="H49" s="59">
        <f t="shared" si="1"/>
        <v>-2443.3849999999911</v>
      </c>
      <c r="I49" s="59">
        <f t="shared" si="1"/>
        <v>-60.850999999999999</v>
      </c>
    </row>
    <row r="50" spans="1:9" ht="15.75" x14ac:dyDescent="0.25">
      <c r="A50" s="7">
        <v>46</v>
      </c>
      <c r="B50" s="7" t="s">
        <v>38</v>
      </c>
      <c r="C50" s="7" t="s">
        <v>10</v>
      </c>
      <c r="D50" s="41">
        <v>2155.2000000000003</v>
      </c>
      <c r="E50" s="41">
        <v>22.42</v>
      </c>
      <c r="F50" s="41">
        <v>2953.42</v>
      </c>
      <c r="G50" s="41">
        <v>69.807999999999993</v>
      </c>
      <c r="H50" s="59">
        <f t="shared" si="1"/>
        <v>798.2199999999998</v>
      </c>
      <c r="I50" s="59">
        <f t="shared" si="1"/>
        <v>47.387999999999991</v>
      </c>
    </row>
    <row r="51" spans="1:9" ht="15.75" x14ac:dyDescent="0.25">
      <c r="A51" s="7">
        <v>47</v>
      </c>
      <c r="B51" s="7" t="s">
        <v>40</v>
      </c>
      <c r="C51" s="7" t="s">
        <v>10</v>
      </c>
      <c r="D51" s="41">
        <v>5009.4769999999999</v>
      </c>
      <c r="E51" s="41">
        <v>340.83599999999996</v>
      </c>
      <c r="F51" s="41">
        <v>6933.0720000000001</v>
      </c>
      <c r="G51" s="41">
        <v>896.51499999999987</v>
      </c>
      <c r="H51" s="59">
        <f t="shared" si="1"/>
        <v>1923.5950000000003</v>
      </c>
      <c r="I51" s="59">
        <f t="shared" si="1"/>
        <v>555.67899999999986</v>
      </c>
    </row>
    <row r="52" spans="1:9" ht="15.75" x14ac:dyDescent="0.25">
      <c r="A52" s="7">
        <v>48</v>
      </c>
      <c r="B52" s="7" t="s">
        <v>39</v>
      </c>
      <c r="C52" s="7" t="s">
        <v>10</v>
      </c>
      <c r="D52" s="41">
        <v>127.22</v>
      </c>
      <c r="E52" s="41">
        <v>3.6</v>
      </c>
      <c r="F52" s="41">
        <v>183.39159999999998</v>
      </c>
      <c r="G52" s="41">
        <v>41.734000000000009</v>
      </c>
      <c r="H52" s="59">
        <f t="shared" si="1"/>
        <v>56.171599999999984</v>
      </c>
      <c r="I52" s="59">
        <f t="shared" si="1"/>
        <v>38.134000000000007</v>
      </c>
    </row>
    <row r="53" spans="1:9" ht="15.75" x14ac:dyDescent="0.25">
      <c r="A53" s="7">
        <v>49</v>
      </c>
      <c r="B53" s="8" t="s">
        <v>156</v>
      </c>
      <c r="C53" s="8" t="s">
        <v>10</v>
      </c>
      <c r="D53" s="41">
        <v>180.85</v>
      </c>
      <c r="E53" s="41"/>
      <c r="F53" s="41">
        <v>110</v>
      </c>
      <c r="G53" s="41"/>
      <c r="H53" s="59">
        <f t="shared" si="1"/>
        <v>-70.849999999999994</v>
      </c>
      <c r="I53" s="59"/>
    </row>
    <row r="54" spans="1:9" ht="15.75" x14ac:dyDescent="0.25">
      <c r="A54" s="7">
        <v>50</v>
      </c>
      <c r="B54" s="8" t="s">
        <v>180</v>
      </c>
      <c r="C54" s="8" t="s">
        <v>10</v>
      </c>
      <c r="D54" s="41"/>
      <c r="E54" s="41">
        <v>89</v>
      </c>
      <c r="F54" s="41"/>
      <c r="G54" s="41">
        <v>171.8</v>
      </c>
      <c r="H54" s="59"/>
      <c r="I54" s="59">
        <f t="shared" si="1"/>
        <v>82.800000000000011</v>
      </c>
    </row>
    <row r="55" spans="1:9" ht="15.75" x14ac:dyDescent="0.25">
      <c r="A55" s="7">
        <v>51</v>
      </c>
      <c r="B55" s="7" t="s">
        <v>23</v>
      </c>
      <c r="C55" s="7" t="s">
        <v>10</v>
      </c>
      <c r="D55" s="41">
        <v>850.54</v>
      </c>
      <c r="E55" s="41">
        <v>759</v>
      </c>
      <c r="F55" s="41">
        <v>1744.691</v>
      </c>
      <c r="G55" s="41">
        <v>1552.0740000000001</v>
      </c>
      <c r="H55" s="59">
        <f t="shared" si="1"/>
        <v>894.15100000000007</v>
      </c>
      <c r="I55" s="59">
        <f t="shared" si="1"/>
        <v>793.07400000000007</v>
      </c>
    </row>
    <row r="56" spans="1:9" ht="15.75" x14ac:dyDescent="0.25">
      <c r="A56" s="7">
        <v>52</v>
      </c>
      <c r="B56" s="7" t="s">
        <v>87</v>
      </c>
      <c r="C56" s="7" t="s">
        <v>8</v>
      </c>
      <c r="D56" s="40">
        <v>121</v>
      </c>
      <c r="E56" s="40">
        <v>114</v>
      </c>
      <c r="F56" s="40">
        <v>43</v>
      </c>
      <c r="G56" s="40">
        <v>92</v>
      </c>
      <c r="H56" s="49">
        <f t="shared" si="1"/>
        <v>-78</v>
      </c>
      <c r="I56" s="49">
        <f t="shared" si="1"/>
        <v>-22</v>
      </c>
    </row>
    <row r="57" spans="1:9" ht="15.75" x14ac:dyDescent="0.25">
      <c r="A57" s="7">
        <v>53</v>
      </c>
      <c r="B57" s="7" t="s">
        <v>88</v>
      </c>
      <c r="C57" s="7" t="s">
        <v>8</v>
      </c>
      <c r="D57" s="40">
        <v>5</v>
      </c>
      <c r="E57" s="40">
        <v>46</v>
      </c>
      <c r="F57" s="40">
        <v>1</v>
      </c>
      <c r="G57" s="40">
        <v>73</v>
      </c>
      <c r="H57" s="49">
        <f t="shared" si="1"/>
        <v>-4</v>
      </c>
      <c r="I57" s="49">
        <f t="shared" si="1"/>
        <v>27</v>
      </c>
    </row>
    <row r="58" spans="1:9" ht="15.75" x14ac:dyDescent="0.25">
      <c r="A58" s="7">
        <v>54</v>
      </c>
      <c r="B58" s="7" t="s">
        <v>179</v>
      </c>
      <c r="C58" s="7" t="s">
        <v>8</v>
      </c>
      <c r="D58" s="40">
        <v>33491</v>
      </c>
      <c r="E58" s="40">
        <v>26104</v>
      </c>
      <c r="F58" s="40">
        <v>4780</v>
      </c>
      <c r="G58" s="40">
        <v>32432</v>
      </c>
      <c r="H58" s="49">
        <f t="shared" si="1"/>
        <v>-28711</v>
      </c>
      <c r="I58" s="49">
        <f t="shared" si="1"/>
        <v>6328</v>
      </c>
    </row>
    <row r="59" spans="1:9" ht="15.75" x14ac:dyDescent="0.25">
      <c r="A59" s="7">
        <v>55</v>
      </c>
      <c r="B59" s="7" t="s">
        <v>35</v>
      </c>
      <c r="C59" s="7" t="s">
        <v>10</v>
      </c>
      <c r="D59" s="41">
        <v>45.3</v>
      </c>
      <c r="E59" s="41">
        <v>211.05199999999999</v>
      </c>
      <c r="F59" s="41">
        <v>18.535</v>
      </c>
      <c r="G59" s="41">
        <v>237.21299999999999</v>
      </c>
      <c r="H59" s="59">
        <f t="shared" si="1"/>
        <v>-26.764999999999997</v>
      </c>
      <c r="I59" s="59">
        <f t="shared" si="1"/>
        <v>26.161000000000001</v>
      </c>
    </row>
    <row r="60" spans="1:9" ht="15.75" x14ac:dyDescent="0.25">
      <c r="A60" s="7">
        <v>56</v>
      </c>
      <c r="B60" s="7" t="s">
        <v>37</v>
      </c>
      <c r="C60" s="7" t="s">
        <v>10</v>
      </c>
      <c r="D60" s="41">
        <v>50414.341000000008</v>
      </c>
      <c r="E60" s="41">
        <v>80.8</v>
      </c>
      <c r="F60" s="41">
        <v>9608.4239999999991</v>
      </c>
      <c r="G60" s="41">
        <v>16859.04</v>
      </c>
      <c r="H60" s="59">
        <f t="shared" si="1"/>
        <v>-40805.917000000009</v>
      </c>
      <c r="I60" s="59">
        <f t="shared" si="1"/>
        <v>16778.240000000002</v>
      </c>
    </row>
    <row r="61" spans="1:9" ht="15.75" x14ac:dyDescent="0.25">
      <c r="A61" s="7">
        <v>57</v>
      </c>
      <c r="B61" s="7" t="s">
        <v>45</v>
      </c>
      <c r="C61" s="7" t="s">
        <v>10</v>
      </c>
      <c r="D61" s="41">
        <v>110.13590000000001</v>
      </c>
      <c r="E61" s="41">
        <v>1.111</v>
      </c>
      <c r="F61" s="41">
        <v>147.5686</v>
      </c>
      <c r="G61" s="41"/>
      <c r="H61" s="59">
        <f t="shared" si="1"/>
        <v>37.432699999999997</v>
      </c>
      <c r="I61" s="59">
        <f t="shared" si="1"/>
        <v>-1.111</v>
      </c>
    </row>
    <row r="62" spans="1:9" ht="15.75" x14ac:dyDescent="0.25">
      <c r="A62" s="7">
        <v>58</v>
      </c>
      <c r="B62" s="7" t="s">
        <v>48</v>
      </c>
      <c r="C62" s="7" t="s">
        <v>9</v>
      </c>
      <c r="D62" s="40"/>
      <c r="E62" s="40">
        <v>182</v>
      </c>
      <c r="F62" s="40"/>
      <c r="G62" s="40">
        <v>212</v>
      </c>
      <c r="H62" s="49"/>
      <c r="I62" s="49">
        <f t="shared" si="1"/>
        <v>30</v>
      </c>
    </row>
    <row r="63" spans="1:9" ht="15.75" x14ac:dyDescent="0.25">
      <c r="A63" s="7">
        <v>59</v>
      </c>
      <c r="B63" s="7" t="s">
        <v>49</v>
      </c>
      <c r="C63" s="7" t="s">
        <v>10</v>
      </c>
      <c r="D63" s="41">
        <v>21.95</v>
      </c>
      <c r="E63" s="41">
        <v>70.16</v>
      </c>
      <c r="F63" s="41">
        <v>118.30000000000001</v>
      </c>
      <c r="G63" s="41">
        <v>63.614820000000002</v>
      </c>
      <c r="H63" s="59">
        <f t="shared" si="1"/>
        <v>96.350000000000009</v>
      </c>
      <c r="I63" s="59">
        <f t="shared" si="1"/>
        <v>-6.5451799999999949</v>
      </c>
    </row>
    <row r="64" spans="1:9" ht="15.75" x14ac:dyDescent="0.25">
      <c r="A64" s="7">
        <v>60</v>
      </c>
      <c r="B64" s="7" t="s">
        <v>50</v>
      </c>
      <c r="C64" s="7" t="s">
        <v>9</v>
      </c>
      <c r="D64" s="40">
        <v>28083390</v>
      </c>
      <c r="E64" s="40"/>
      <c r="F64" s="40">
        <v>52354000</v>
      </c>
      <c r="G64" s="40">
        <v>1877000</v>
      </c>
      <c r="H64" s="49">
        <f t="shared" si="1"/>
        <v>24270610</v>
      </c>
      <c r="I64" s="49">
        <f t="shared" si="1"/>
        <v>1877000</v>
      </c>
    </row>
    <row r="65" spans="1:9" ht="15.75" x14ac:dyDescent="0.25">
      <c r="A65" s="7">
        <v>61</v>
      </c>
      <c r="B65" s="7" t="s">
        <v>64</v>
      </c>
      <c r="C65" s="7" t="s">
        <v>10</v>
      </c>
      <c r="D65" s="41">
        <v>58.563999999999993</v>
      </c>
      <c r="E65" s="41">
        <v>309.05</v>
      </c>
      <c r="F65" s="41">
        <v>567.97300000000007</v>
      </c>
      <c r="G65" s="41">
        <v>41.495000000000005</v>
      </c>
      <c r="H65" s="59">
        <f t="shared" si="1"/>
        <v>509.40900000000011</v>
      </c>
      <c r="I65" s="59">
        <f t="shared" si="1"/>
        <v>-267.55500000000001</v>
      </c>
    </row>
    <row r="66" spans="1:9" ht="15.75" x14ac:dyDescent="0.25">
      <c r="A66" s="7">
        <v>62</v>
      </c>
      <c r="B66" s="7" t="s">
        <v>75</v>
      </c>
      <c r="C66" s="7" t="s">
        <v>10</v>
      </c>
      <c r="D66" s="41">
        <v>59.892000000000003</v>
      </c>
      <c r="E66" s="41"/>
      <c r="F66" s="41">
        <v>815.95800000000008</v>
      </c>
      <c r="G66" s="41">
        <v>235.43199999999999</v>
      </c>
      <c r="H66" s="59">
        <f t="shared" si="1"/>
        <v>756.06600000000003</v>
      </c>
      <c r="I66" s="59">
        <f t="shared" si="1"/>
        <v>235.43199999999999</v>
      </c>
    </row>
    <row r="67" spans="1:9" ht="15.75" x14ac:dyDescent="0.25">
      <c r="A67" s="7">
        <v>63</v>
      </c>
      <c r="B67" s="7" t="s">
        <v>66</v>
      </c>
      <c r="C67" s="7" t="s">
        <v>10</v>
      </c>
      <c r="D67" s="41">
        <v>256.94600000000003</v>
      </c>
      <c r="E67" s="41"/>
      <c r="F67" s="41">
        <v>457.017</v>
      </c>
      <c r="G67" s="41"/>
      <c r="H67" s="59">
        <f t="shared" si="1"/>
        <v>200.07099999999997</v>
      </c>
      <c r="I67" s="59"/>
    </row>
    <row r="68" spans="1:9" ht="15.75" x14ac:dyDescent="0.25">
      <c r="A68" s="7">
        <v>64</v>
      </c>
      <c r="B68" s="7" t="s">
        <v>67</v>
      </c>
      <c r="C68" s="7" t="s">
        <v>8</v>
      </c>
      <c r="D68" s="40">
        <v>1752430</v>
      </c>
      <c r="E68" s="40">
        <v>17000</v>
      </c>
      <c r="F68" s="40">
        <v>1398760</v>
      </c>
      <c r="G68" s="40">
        <v>17710</v>
      </c>
      <c r="H68" s="49">
        <f t="shared" si="1"/>
        <v>-353670</v>
      </c>
      <c r="I68" s="49">
        <f t="shared" si="1"/>
        <v>710</v>
      </c>
    </row>
    <row r="69" spans="1:9" ht="15.75" x14ac:dyDescent="0.25">
      <c r="A69" s="7">
        <v>65</v>
      </c>
      <c r="B69" s="7" t="s">
        <v>68</v>
      </c>
      <c r="C69" s="7" t="s">
        <v>10</v>
      </c>
      <c r="D69" s="41">
        <v>221.74799999999999</v>
      </c>
      <c r="E69" s="41">
        <v>20</v>
      </c>
      <c r="F69" s="41">
        <v>695.11500000000001</v>
      </c>
      <c r="G69" s="41">
        <v>103.5</v>
      </c>
      <c r="H69" s="59">
        <f t="shared" ref="H69:I102" si="2">F69-D69</f>
        <v>473.36700000000002</v>
      </c>
      <c r="I69" s="59">
        <f t="shared" si="2"/>
        <v>83.5</v>
      </c>
    </row>
    <row r="70" spans="1:9" ht="15.75" x14ac:dyDescent="0.25">
      <c r="A70" s="7">
        <v>66</v>
      </c>
      <c r="B70" s="7" t="s">
        <v>70</v>
      </c>
      <c r="C70" s="7" t="s">
        <v>10</v>
      </c>
      <c r="D70" s="41">
        <v>666.11900000000003</v>
      </c>
      <c r="E70" s="41">
        <v>35.614999999999995</v>
      </c>
      <c r="F70" s="41">
        <v>2059.9330000000004</v>
      </c>
      <c r="G70" s="41">
        <v>71.334000000000003</v>
      </c>
      <c r="H70" s="59">
        <f t="shared" si="2"/>
        <v>1393.8140000000003</v>
      </c>
      <c r="I70" s="59">
        <f t="shared" si="2"/>
        <v>35.719000000000008</v>
      </c>
    </row>
    <row r="71" spans="1:9" ht="15.75" x14ac:dyDescent="0.25">
      <c r="A71" s="7">
        <v>67</v>
      </c>
      <c r="B71" s="7" t="s">
        <v>71</v>
      </c>
      <c r="C71" s="7" t="s">
        <v>10</v>
      </c>
      <c r="D71" s="41">
        <v>0.41156000000000004</v>
      </c>
      <c r="E71" s="41">
        <v>0.38699999999999996</v>
      </c>
      <c r="F71" s="41">
        <v>4.2709999999999999</v>
      </c>
      <c r="G71" s="41">
        <v>0.13</v>
      </c>
      <c r="H71" s="59">
        <f t="shared" si="2"/>
        <v>3.8594399999999998</v>
      </c>
      <c r="I71" s="59">
        <f t="shared" si="2"/>
        <v>-0.25699999999999995</v>
      </c>
    </row>
    <row r="72" spans="1:9" ht="15.75" x14ac:dyDescent="0.25">
      <c r="A72" s="7">
        <v>68</v>
      </c>
      <c r="B72" s="7" t="s">
        <v>73</v>
      </c>
      <c r="C72" s="7" t="s">
        <v>10</v>
      </c>
      <c r="D72" s="41">
        <v>5012</v>
      </c>
      <c r="E72" s="41"/>
      <c r="F72" s="41">
        <v>8325.42</v>
      </c>
      <c r="G72" s="41">
        <v>108</v>
      </c>
      <c r="H72" s="59">
        <f t="shared" si="2"/>
        <v>3313.42</v>
      </c>
      <c r="I72" s="59">
        <f t="shared" si="2"/>
        <v>108</v>
      </c>
    </row>
    <row r="73" spans="1:9" ht="15.75" x14ac:dyDescent="0.25">
      <c r="A73" s="7">
        <v>69</v>
      </c>
      <c r="B73" s="8" t="s">
        <v>89</v>
      </c>
      <c r="C73" s="8" t="s">
        <v>10</v>
      </c>
      <c r="D73" s="41">
        <v>30.574999999999999</v>
      </c>
      <c r="E73" s="41">
        <v>186.95</v>
      </c>
      <c r="F73" s="41">
        <v>10.199999999999999</v>
      </c>
      <c r="G73" s="41">
        <v>812.79</v>
      </c>
      <c r="H73" s="59">
        <f t="shared" si="2"/>
        <v>-20.375</v>
      </c>
      <c r="I73" s="59">
        <f t="shared" si="2"/>
        <v>625.83999999999992</v>
      </c>
    </row>
    <row r="74" spans="1:9" ht="15.75" x14ac:dyDescent="0.25">
      <c r="A74" s="7">
        <v>70</v>
      </c>
      <c r="B74" s="8" t="s">
        <v>91</v>
      </c>
      <c r="C74" s="8" t="s">
        <v>92</v>
      </c>
      <c r="D74" s="40"/>
      <c r="E74" s="40"/>
      <c r="F74" s="40">
        <v>89858</v>
      </c>
      <c r="G74" s="40"/>
      <c r="H74" s="49">
        <f t="shared" si="2"/>
        <v>89858</v>
      </c>
      <c r="I74" s="49"/>
    </row>
    <row r="75" spans="1:9" ht="15.75" x14ac:dyDescent="0.25">
      <c r="A75" s="7">
        <v>71</v>
      </c>
      <c r="B75" s="8" t="s">
        <v>105</v>
      </c>
      <c r="C75" s="8" t="s">
        <v>10</v>
      </c>
      <c r="D75" s="41">
        <v>39.31</v>
      </c>
      <c r="E75" s="41">
        <v>16.442999999999998</v>
      </c>
      <c r="F75" s="41"/>
      <c r="G75" s="41">
        <v>37.99</v>
      </c>
      <c r="H75" s="59">
        <f t="shared" si="2"/>
        <v>-39.31</v>
      </c>
      <c r="I75" s="59">
        <f t="shared" si="2"/>
        <v>21.547000000000004</v>
      </c>
    </row>
    <row r="76" spans="1:9" ht="15.75" x14ac:dyDescent="0.25">
      <c r="A76" s="7">
        <v>72</v>
      </c>
      <c r="B76" s="8" t="s">
        <v>97</v>
      </c>
      <c r="C76" s="8" t="s">
        <v>92</v>
      </c>
      <c r="D76" s="40">
        <v>12600</v>
      </c>
      <c r="E76" s="40"/>
      <c r="F76" s="40">
        <v>488028</v>
      </c>
      <c r="G76" s="40">
        <v>38936</v>
      </c>
      <c r="H76" s="49">
        <f t="shared" si="2"/>
        <v>475428</v>
      </c>
      <c r="I76" s="49">
        <f t="shared" si="2"/>
        <v>38936</v>
      </c>
    </row>
    <row r="77" spans="1:9" ht="15.75" x14ac:dyDescent="0.25">
      <c r="A77" s="7">
        <v>73</v>
      </c>
      <c r="B77" s="8" t="s">
        <v>98</v>
      </c>
      <c r="C77" s="8" t="s">
        <v>10</v>
      </c>
      <c r="D77" s="41">
        <v>104.73200000000001</v>
      </c>
      <c r="E77" s="41"/>
      <c r="F77" s="41">
        <v>326.13400000000001</v>
      </c>
      <c r="G77" s="41"/>
      <c r="H77" s="59">
        <f t="shared" si="2"/>
        <v>221.40199999999999</v>
      </c>
      <c r="I77" s="59"/>
    </row>
    <row r="78" spans="1:9" ht="15.75" x14ac:dyDescent="0.25">
      <c r="A78" s="7">
        <v>74</v>
      </c>
      <c r="B78" s="8" t="s">
        <v>99</v>
      </c>
      <c r="C78" s="8" t="s">
        <v>9</v>
      </c>
      <c r="D78" s="40">
        <v>1500</v>
      </c>
      <c r="E78" s="40">
        <v>10000</v>
      </c>
      <c r="F78" s="40">
        <v>360</v>
      </c>
      <c r="G78" s="40">
        <v>10000</v>
      </c>
      <c r="H78" s="49">
        <f t="shared" si="2"/>
        <v>-1140</v>
      </c>
      <c r="I78" s="49">
        <f t="shared" si="2"/>
        <v>0</v>
      </c>
    </row>
    <row r="79" spans="1:9" ht="15.75" x14ac:dyDescent="0.25">
      <c r="A79" s="7">
        <v>75</v>
      </c>
      <c r="B79" s="8" t="s">
        <v>115</v>
      </c>
      <c r="C79" s="8" t="s">
        <v>116</v>
      </c>
      <c r="D79" s="40">
        <v>10515</v>
      </c>
      <c r="E79" s="40"/>
      <c r="F79" s="40">
        <v>356931</v>
      </c>
      <c r="G79" s="40">
        <v>63573</v>
      </c>
      <c r="H79" s="49">
        <f t="shared" si="2"/>
        <v>346416</v>
      </c>
      <c r="I79" s="49">
        <f t="shared" si="2"/>
        <v>63573</v>
      </c>
    </row>
    <row r="80" spans="1:9" ht="15.75" x14ac:dyDescent="0.25">
      <c r="A80" s="7">
        <v>76</v>
      </c>
      <c r="B80" s="8" t="s">
        <v>127</v>
      </c>
      <c r="C80" s="8" t="s">
        <v>10</v>
      </c>
      <c r="D80" s="41">
        <v>43.391999999999996</v>
      </c>
      <c r="E80" s="41"/>
      <c r="F80" s="41">
        <v>6.3979999999999997</v>
      </c>
      <c r="G80" s="41"/>
      <c r="H80" s="59">
        <f t="shared" si="2"/>
        <v>-36.994</v>
      </c>
      <c r="I80" s="59"/>
    </row>
    <row r="81" spans="1:9" ht="15.75" x14ac:dyDescent="0.25">
      <c r="A81" s="7">
        <v>77</v>
      </c>
      <c r="B81" s="8" t="s">
        <v>128</v>
      </c>
      <c r="C81" s="8" t="s">
        <v>10</v>
      </c>
      <c r="D81" s="41">
        <v>8.1999999999999993</v>
      </c>
      <c r="E81" s="41">
        <v>47.230999999999995</v>
      </c>
      <c r="F81" s="41"/>
      <c r="G81" s="41">
        <v>58.972000000000001</v>
      </c>
      <c r="H81" s="59">
        <f t="shared" si="2"/>
        <v>-8.1999999999999993</v>
      </c>
      <c r="I81" s="59">
        <f t="shared" si="2"/>
        <v>11.741000000000007</v>
      </c>
    </row>
    <row r="82" spans="1:9" ht="15.75" x14ac:dyDescent="0.25">
      <c r="A82" s="7">
        <v>78</v>
      </c>
      <c r="B82" s="8" t="s">
        <v>129</v>
      </c>
      <c r="C82" s="8" t="s">
        <v>10</v>
      </c>
      <c r="D82" s="41"/>
      <c r="E82" s="41">
        <v>14.282</v>
      </c>
      <c r="F82" s="41">
        <v>1.405</v>
      </c>
      <c r="G82" s="41">
        <v>12.55</v>
      </c>
      <c r="H82" s="59">
        <f t="shared" si="2"/>
        <v>1.405</v>
      </c>
      <c r="I82" s="59">
        <f t="shared" si="2"/>
        <v>-1.7319999999999993</v>
      </c>
    </row>
    <row r="83" spans="1:9" ht="15.75" x14ac:dyDescent="0.25">
      <c r="A83" s="7">
        <v>79</v>
      </c>
      <c r="B83" s="8" t="s">
        <v>130</v>
      </c>
      <c r="C83" s="8" t="s">
        <v>10</v>
      </c>
      <c r="D83" s="41">
        <v>202</v>
      </c>
      <c r="E83" s="41">
        <v>18.677</v>
      </c>
      <c r="F83" s="41">
        <v>545</v>
      </c>
      <c r="G83" s="41">
        <v>21</v>
      </c>
      <c r="H83" s="59">
        <f t="shared" si="2"/>
        <v>343</v>
      </c>
      <c r="I83" s="59">
        <f t="shared" si="2"/>
        <v>2.3230000000000004</v>
      </c>
    </row>
    <row r="84" spans="1:9" ht="15.75" x14ac:dyDescent="0.25">
      <c r="A84" s="7">
        <v>80</v>
      </c>
      <c r="B84" s="8" t="s">
        <v>151</v>
      </c>
      <c r="C84" s="8" t="s">
        <v>10</v>
      </c>
      <c r="D84" s="41">
        <v>1058.4179999999999</v>
      </c>
      <c r="E84" s="41">
        <v>322.00600000000003</v>
      </c>
      <c r="F84" s="41">
        <v>57.037999999999997</v>
      </c>
      <c r="G84" s="41">
        <v>540</v>
      </c>
      <c r="H84" s="59">
        <f t="shared" si="2"/>
        <v>-1001.3799999999999</v>
      </c>
      <c r="I84" s="59">
        <f t="shared" si="2"/>
        <v>217.99399999999997</v>
      </c>
    </row>
    <row r="85" spans="1:9" ht="15.75" x14ac:dyDescent="0.25">
      <c r="A85" s="7">
        <v>81</v>
      </c>
      <c r="B85" s="8" t="s">
        <v>152</v>
      </c>
      <c r="C85" s="8" t="s">
        <v>8</v>
      </c>
      <c r="D85" s="40"/>
      <c r="E85" s="40"/>
      <c r="F85" s="40">
        <v>1</v>
      </c>
      <c r="G85" s="40"/>
      <c r="H85" s="49">
        <f t="shared" si="2"/>
        <v>1</v>
      </c>
      <c r="I85" s="49"/>
    </row>
    <row r="86" spans="1:9" ht="15.75" x14ac:dyDescent="0.25">
      <c r="A86" s="7">
        <v>82</v>
      </c>
      <c r="B86" s="8" t="s">
        <v>153</v>
      </c>
      <c r="C86" s="8" t="s">
        <v>8</v>
      </c>
      <c r="D86" s="40"/>
      <c r="E86" s="40"/>
      <c r="F86" s="40">
        <v>8</v>
      </c>
      <c r="G86" s="40">
        <v>3</v>
      </c>
      <c r="H86" s="49">
        <f t="shared" si="2"/>
        <v>8</v>
      </c>
      <c r="I86" s="49">
        <f t="shared" si="2"/>
        <v>3</v>
      </c>
    </row>
    <row r="87" spans="1:9" ht="15.75" x14ac:dyDescent="0.25">
      <c r="A87" s="7">
        <v>83</v>
      </c>
      <c r="B87" s="8" t="s">
        <v>154</v>
      </c>
      <c r="C87" s="8" t="s">
        <v>8</v>
      </c>
      <c r="D87" s="48"/>
      <c r="E87" s="48"/>
      <c r="F87" s="40"/>
      <c r="G87" s="40">
        <v>2</v>
      </c>
      <c r="H87" s="49"/>
      <c r="I87" s="49">
        <f t="shared" si="2"/>
        <v>2</v>
      </c>
    </row>
    <row r="88" spans="1:9" ht="15.75" x14ac:dyDescent="0.25">
      <c r="A88" s="7">
        <v>84</v>
      </c>
      <c r="B88" s="8" t="s">
        <v>155</v>
      </c>
      <c r="C88" s="8" t="s">
        <v>116</v>
      </c>
      <c r="D88" s="48"/>
      <c r="E88" s="48"/>
      <c r="F88" s="40">
        <v>402775</v>
      </c>
      <c r="G88" s="40"/>
      <c r="H88" s="49">
        <f t="shared" si="2"/>
        <v>402775</v>
      </c>
      <c r="I88" s="49"/>
    </row>
    <row r="89" spans="1:9" ht="15.75" x14ac:dyDescent="0.25">
      <c r="A89" s="7">
        <v>85</v>
      </c>
      <c r="B89" s="8" t="s">
        <v>145</v>
      </c>
      <c r="C89" s="8" t="s">
        <v>9</v>
      </c>
      <c r="D89" s="48"/>
      <c r="E89" s="48"/>
      <c r="F89" s="40">
        <v>2500000</v>
      </c>
      <c r="G89" s="40"/>
      <c r="H89" s="49">
        <f t="shared" si="2"/>
        <v>2500000</v>
      </c>
      <c r="I89" s="49"/>
    </row>
    <row r="90" spans="1:9" ht="15.75" x14ac:dyDescent="0.25">
      <c r="A90" s="7">
        <v>86</v>
      </c>
      <c r="B90" s="8" t="s">
        <v>157</v>
      </c>
      <c r="C90" s="8" t="s">
        <v>10</v>
      </c>
      <c r="D90" s="41">
        <v>187.83299999999997</v>
      </c>
      <c r="E90" s="41"/>
      <c r="F90" s="41">
        <v>21.757000000000001</v>
      </c>
      <c r="G90" s="41"/>
      <c r="H90" s="59">
        <f t="shared" si="2"/>
        <v>-166.07599999999996</v>
      </c>
      <c r="I90" s="59"/>
    </row>
    <row r="91" spans="1:9" ht="15.75" x14ac:dyDescent="0.25">
      <c r="A91" s="7">
        <v>87</v>
      </c>
      <c r="B91" s="8" t="s">
        <v>159</v>
      </c>
      <c r="C91" s="8" t="s">
        <v>8</v>
      </c>
      <c r="D91" s="40"/>
      <c r="E91" s="40"/>
      <c r="F91" s="40">
        <v>8</v>
      </c>
      <c r="G91" s="40"/>
      <c r="H91" s="49">
        <f t="shared" si="2"/>
        <v>8</v>
      </c>
      <c r="I91" s="49"/>
    </row>
    <row r="92" spans="1:9" ht="15.75" x14ac:dyDescent="0.25">
      <c r="A92" s="7">
        <v>88</v>
      </c>
      <c r="B92" s="8" t="s">
        <v>160</v>
      </c>
      <c r="C92" s="8" t="s">
        <v>8</v>
      </c>
      <c r="D92" s="40"/>
      <c r="E92" s="40"/>
      <c r="F92" s="40">
        <v>7</v>
      </c>
      <c r="G92" s="40"/>
      <c r="H92" s="49">
        <f t="shared" si="2"/>
        <v>7</v>
      </c>
      <c r="I92" s="49"/>
    </row>
    <row r="93" spans="1:9" ht="15.75" x14ac:dyDescent="0.25">
      <c r="A93" s="7">
        <v>89</v>
      </c>
      <c r="B93" s="8" t="s">
        <v>161</v>
      </c>
      <c r="C93" s="8" t="s">
        <v>9</v>
      </c>
      <c r="D93" s="40">
        <v>863</v>
      </c>
      <c r="E93" s="40">
        <v>8120</v>
      </c>
      <c r="F93" s="40">
        <v>888</v>
      </c>
      <c r="G93" s="40">
        <v>13660</v>
      </c>
      <c r="H93" s="49">
        <f t="shared" si="2"/>
        <v>25</v>
      </c>
      <c r="I93" s="49">
        <f t="shared" si="2"/>
        <v>5540</v>
      </c>
    </row>
    <row r="94" spans="1:9" ht="15.75" x14ac:dyDescent="0.25">
      <c r="A94" s="7">
        <v>90</v>
      </c>
      <c r="B94" s="8" t="s">
        <v>162</v>
      </c>
      <c r="C94" s="8" t="s">
        <v>8</v>
      </c>
      <c r="D94" s="40"/>
      <c r="E94" s="40">
        <v>2000</v>
      </c>
      <c r="F94" s="40"/>
      <c r="G94" s="40">
        <v>3250</v>
      </c>
      <c r="H94" s="49"/>
      <c r="I94" s="49">
        <f t="shared" si="2"/>
        <v>1250</v>
      </c>
    </row>
    <row r="95" spans="1:9" ht="15.75" x14ac:dyDescent="0.25">
      <c r="A95" s="7">
        <v>91</v>
      </c>
      <c r="B95" s="8" t="s">
        <v>163</v>
      </c>
      <c r="C95" s="8" t="s">
        <v>8</v>
      </c>
      <c r="D95" s="40"/>
      <c r="E95" s="40">
        <v>22500</v>
      </c>
      <c r="F95" s="40">
        <v>1000</v>
      </c>
      <c r="G95" s="40">
        <v>14080</v>
      </c>
      <c r="H95" s="49">
        <f t="shared" si="2"/>
        <v>1000</v>
      </c>
      <c r="I95" s="49">
        <f t="shared" si="2"/>
        <v>-8420</v>
      </c>
    </row>
    <row r="96" spans="1:9" ht="15.75" x14ac:dyDescent="0.25">
      <c r="A96" s="7">
        <v>92</v>
      </c>
      <c r="B96" s="8" t="s">
        <v>172</v>
      </c>
      <c r="C96" s="8" t="s">
        <v>9</v>
      </c>
      <c r="D96" s="40">
        <v>1104</v>
      </c>
      <c r="E96" s="40">
        <v>500</v>
      </c>
      <c r="F96" s="40">
        <v>450</v>
      </c>
      <c r="G96" s="40"/>
      <c r="H96" s="49">
        <f t="shared" si="2"/>
        <v>-654</v>
      </c>
      <c r="I96" s="49">
        <f t="shared" si="2"/>
        <v>-500</v>
      </c>
    </row>
    <row r="97" spans="1:9" ht="15.75" x14ac:dyDescent="0.25">
      <c r="A97" s="7">
        <v>93</v>
      </c>
      <c r="B97" s="8" t="s">
        <v>169</v>
      </c>
      <c r="C97" s="8" t="s">
        <v>10</v>
      </c>
      <c r="D97" s="50"/>
      <c r="E97" s="50"/>
      <c r="F97" s="41"/>
      <c r="G97" s="41">
        <v>1.5</v>
      </c>
      <c r="H97" s="59"/>
      <c r="I97" s="59">
        <f t="shared" si="2"/>
        <v>1.5</v>
      </c>
    </row>
    <row r="98" spans="1:9" ht="15.75" x14ac:dyDescent="0.25">
      <c r="A98" s="7">
        <v>94</v>
      </c>
      <c r="B98" s="8" t="s">
        <v>174</v>
      </c>
      <c r="C98" s="8" t="s">
        <v>10</v>
      </c>
      <c r="D98" s="50"/>
      <c r="E98" s="50"/>
      <c r="F98" s="41">
        <v>77.524000000000001</v>
      </c>
      <c r="G98" s="41"/>
      <c r="H98" s="59">
        <f t="shared" si="2"/>
        <v>77.524000000000001</v>
      </c>
      <c r="I98" s="59"/>
    </row>
    <row r="99" spans="1:9" ht="15.75" x14ac:dyDescent="0.25">
      <c r="A99" s="7">
        <v>95</v>
      </c>
      <c r="B99" s="8" t="s">
        <v>175</v>
      </c>
      <c r="C99" s="8" t="s">
        <v>10</v>
      </c>
      <c r="D99" s="41"/>
      <c r="E99" s="41"/>
      <c r="F99" s="41"/>
      <c r="G99" s="41">
        <v>2.0009999999999999</v>
      </c>
      <c r="H99" s="59"/>
      <c r="I99" s="59">
        <f t="shared" si="2"/>
        <v>2.0009999999999999</v>
      </c>
    </row>
    <row r="100" spans="1:9" ht="15.75" x14ac:dyDescent="0.25">
      <c r="A100" s="7">
        <v>96</v>
      </c>
      <c r="B100" s="8" t="s">
        <v>181</v>
      </c>
      <c r="C100" s="8" t="s">
        <v>8</v>
      </c>
      <c r="D100" s="40"/>
      <c r="E100" s="40"/>
      <c r="F100" s="48">
        <v>12</v>
      </c>
      <c r="G100" s="48">
        <v>28</v>
      </c>
      <c r="H100" s="49">
        <f t="shared" si="2"/>
        <v>12</v>
      </c>
      <c r="I100" s="49">
        <f t="shared" si="2"/>
        <v>28</v>
      </c>
    </row>
    <row r="101" spans="1:9" ht="15.75" x14ac:dyDescent="0.25">
      <c r="A101" s="7">
        <v>97</v>
      </c>
      <c r="B101" s="8" t="s">
        <v>182</v>
      </c>
      <c r="C101" s="8" t="s">
        <v>8</v>
      </c>
      <c r="D101" s="48"/>
      <c r="E101" s="48"/>
      <c r="F101" s="48">
        <v>120</v>
      </c>
      <c r="G101" s="48">
        <v>4500</v>
      </c>
      <c r="H101" s="49">
        <f t="shared" si="2"/>
        <v>120</v>
      </c>
      <c r="I101" s="49">
        <f t="shared" si="2"/>
        <v>4500</v>
      </c>
    </row>
    <row r="102" spans="1:9" ht="15.75" x14ac:dyDescent="0.25">
      <c r="A102" s="7">
        <v>98</v>
      </c>
      <c r="B102" s="8" t="s">
        <v>194</v>
      </c>
      <c r="C102" s="8" t="s">
        <v>10</v>
      </c>
      <c r="D102" s="41">
        <v>14.2</v>
      </c>
      <c r="E102" s="41"/>
      <c r="F102" s="74">
        <v>18.600000000000001</v>
      </c>
      <c r="G102" s="74"/>
      <c r="H102" s="59">
        <f t="shared" si="2"/>
        <v>4.4000000000000021</v>
      </c>
      <c r="I102" s="59"/>
    </row>
    <row r="103" spans="1:9" ht="15.75" x14ac:dyDescent="0.25">
      <c r="A103" s="7">
        <v>99</v>
      </c>
      <c r="B103" s="8" t="s">
        <v>195</v>
      </c>
      <c r="C103" s="8" t="s">
        <v>10</v>
      </c>
      <c r="D103" s="41"/>
      <c r="E103" s="41">
        <v>1.2999999999999999E-2</v>
      </c>
      <c r="F103" s="74"/>
      <c r="G103" s="74">
        <v>1.1120000000000001</v>
      </c>
      <c r="H103" s="59"/>
      <c r="I103" s="59">
        <f t="shared" ref="H103:I105" si="3">G103-E103</f>
        <v>1.0990000000000002</v>
      </c>
    </row>
    <row r="104" spans="1:9" ht="15.75" x14ac:dyDescent="0.25">
      <c r="A104" s="7">
        <v>100</v>
      </c>
      <c r="B104" s="8" t="s">
        <v>196</v>
      </c>
      <c r="C104" s="8" t="s">
        <v>8</v>
      </c>
      <c r="D104" s="75"/>
      <c r="E104" s="75"/>
      <c r="F104" s="75">
        <v>10</v>
      </c>
      <c r="G104" s="75">
        <v>40</v>
      </c>
      <c r="H104" s="49">
        <f t="shared" si="3"/>
        <v>10</v>
      </c>
      <c r="I104" s="49">
        <f t="shared" si="3"/>
        <v>40</v>
      </c>
    </row>
    <row r="105" spans="1:9" ht="15.75" x14ac:dyDescent="0.25">
      <c r="A105" s="7">
        <v>101</v>
      </c>
      <c r="B105" s="8" t="s">
        <v>197</v>
      </c>
      <c r="C105" s="8" t="s">
        <v>8</v>
      </c>
      <c r="D105" s="75"/>
      <c r="E105" s="75"/>
      <c r="F105" s="75">
        <v>8</v>
      </c>
      <c r="G105" s="75">
        <v>21</v>
      </c>
      <c r="H105" s="49">
        <f t="shared" si="3"/>
        <v>8</v>
      </c>
      <c r="I105" s="49">
        <f t="shared" si="3"/>
        <v>21</v>
      </c>
    </row>
    <row r="106" spans="1:9" x14ac:dyDescent="0.25">
      <c r="D106" s="73"/>
      <c r="E106" s="73"/>
      <c r="F106" s="73"/>
      <c r="G106" s="73"/>
      <c r="H106" s="73"/>
      <c r="I106" s="73"/>
    </row>
  </sheetData>
  <mergeCells count="8">
    <mergeCell ref="A15:C15"/>
    <mergeCell ref="A1:I1"/>
    <mergeCell ref="H2:I2"/>
    <mergeCell ref="A2:A3"/>
    <mergeCell ref="B2:B3"/>
    <mergeCell ref="C2:C3"/>
    <mergeCell ref="D2:E2"/>
    <mergeCell ref="F2:G2"/>
  </mergeCells>
  <conditionalFormatting sqref="F29:G77 F15:G27">
    <cfRule type="duplicateValues" dxfId="1" priority="79"/>
  </conditionalFormatting>
  <conditionalFormatting sqref="F4:G4 F8:G13">
    <cfRule type="duplicateValues" dxfId="0" priority="82"/>
  </conditionalFormatting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ЕАЭС</vt:lpstr>
      <vt:lpstr>Импорт</vt:lpstr>
      <vt:lpstr>Экспорт</vt:lpstr>
      <vt:lpstr>Свод</vt:lpstr>
      <vt:lpstr>Сравнительный 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2025-10-05T07:13:03Z</dcterms:modified>
</cp:coreProperties>
</file>