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O46" i="1" l="1"/>
  <c r="AO45" i="1"/>
  <c r="AO44" i="1"/>
  <c r="AO43" i="1"/>
  <c r="AO42" i="1"/>
  <c r="E41" i="1"/>
  <c r="AO41" i="1" s="1"/>
  <c r="AO40" i="1"/>
  <c r="AO39" i="1"/>
  <c r="AO38" i="1"/>
  <c r="AO37" i="1"/>
  <c r="AO36" i="1"/>
  <c r="AD35" i="1"/>
  <c r="AO35" i="1" s="1"/>
  <c r="T34" i="1"/>
  <c r="G34" i="1"/>
  <c r="AO34" i="1" s="1"/>
  <c r="AO33" i="1"/>
  <c r="AO32" i="1"/>
  <c r="AE32" i="1"/>
  <c r="D31" i="1"/>
  <c r="AO31" i="1" s="1"/>
  <c r="AO30" i="1"/>
  <c r="AD30" i="1"/>
  <c r="AO29" i="1"/>
  <c r="AK28" i="1"/>
  <c r="AO28" i="1" s="1"/>
  <c r="S27" i="1"/>
  <c r="E27" i="1"/>
  <c r="AO27" i="1" s="1"/>
  <c r="S26" i="1"/>
  <c r="E26" i="1"/>
  <c r="AO26" i="1" s="1"/>
  <c r="AO25" i="1"/>
  <c r="D25" i="1"/>
  <c r="T24" i="1"/>
  <c r="E24" i="1"/>
  <c r="AO24" i="1" s="1"/>
  <c r="AF23" i="1"/>
  <c r="AB23" i="1"/>
  <c r="Y23" i="1"/>
  <c r="AO23" i="1" s="1"/>
  <c r="AO22" i="1"/>
  <c r="S21" i="1"/>
  <c r="AO21" i="1" s="1"/>
  <c r="E20" i="1"/>
  <c r="AO20" i="1" s="1"/>
  <c r="X19" i="1"/>
  <c r="F19" i="1"/>
  <c r="AO19" i="1" s="1"/>
  <c r="AO18" i="1"/>
  <c r="E18" i="1"/>
  <c r="V17" i="1"/>
  <c r="AO17" i="1" s="1"/>
  <c r="AO16" i="1"/>
  <c r="U16" i="1"/>
  <c r="AK15" i="1"/>
  <c r="S15" i="1"/>
  <c r="AO15" i="1" s="1"/>
  <c r="E15" i="1"/>
  <c r="S14" i="1"/>
  <c r="F14" i="1"/>
  <c r="AO14" i="1" s="1"/>
  <c r="AN13" i="1"/>
  <c r="Y13" i="1"/>
  <c r="S13" i="1"/>
  <c r="J13" i="1"/>
  <c r="I13" i="1"/>
  <c r="H13" i="1"/>
  <c r="G13" i="1"/>
  <c r="AO13" i="1" s="1"/>
  <c r="W12" i="1"/>
  <c r="S12" i="1"/>
  <c r="D12" i="1"/>
  <c r="AO12" i="1" s="1"/>
  <c r="S11" i="1"/>
  <c r="D11" i="1"/>
  <c r="AO11" i="1" s="1"/>
  <c r="AC10" i="1"/>
  <c r="Z10" i="1"/>
  <c r="T10" i="1"/>
  <c r="S10" i="1"/>
  <c r="R10" i="1"/>
  <c r="Q10" i="1"/>
  <c r="G10" i="1"/>
  <c r="D10" i="1"/>
  <c r="AO10" i="1" s="1"/>
  <c r="AL9" i="1"/>
  <c r="AJ9" i="1"/>
  <c r="AA9" i="1"/>
  <c r="S9" i="1"/>
  <c r="I9" i="1"/>
  <c r="D9" i="1"/>
  <c r="AO9" i="1" s="1"/>
  <c r="W8" i="1"/>
  <c r="S8" i="1"/>
  <c r="D8" i="1"/>
  <c r="AO8" i="1" s="1"/>
  <c r="T7" i="1"/>
  <c r="S7" i="1"/>
  <c r="AO7" i="1" s="1"/>
  <c r="AM6" i="1"/>
  <c r="AG6" i="1"/>
  <c r="AA6" i="1"/>
  <c r="F6" i="1"/>
  <c r="D6" i="1"/>
  <c r="AO6" i="1" s="1"/>
  <c r="AO5" i="1"/>
  <c r="AH4" i="1"/>
  <c r="AA4" i="1"/>
  <c r="Z4" i="1"/>
  <c r="E4" i="1"/>
  <c r="AO4" i="1" s="1"/>
</calcChain>
</file>

<file path=xl/sharedStrings.xml><?xml version="1.0" encoding="utf-8"?>
<sst xmlns="http://schemas.openxmlformats.org/spreadsheetml/2006/main" count="165" uniqueCount="90">
  <si>
    <t>Импорт из третьих стран за 9 месяцев 2025г.</t>
  </si>
  <si>
    <t>№</t>
  </si>
  <si>
    <t>Вид животных и наименование продуктов и сырья животного происхождения</t>
  </si>
  <si>
    <t>Ед. изм</t>
  </si>
  <si>
    <t>КНР</t>
  </si>
  <si>
    <t>Узбекистан</t>
  </si>
  <si>
    <t>Украина</t>
  </si>
  <si>
    <t>Италия</t>
  </si>
  <si>
    <t>Испания</t>
  </si>
  <si>
    <t>Дания</t>
  </si>
  <si>
    <t>ЮАР</t>
  </si>
  <si>
    <t>Болгария</t>
  </si>
  <si>
    <t>Грузия</t>
  </si>
  <si>
    <t>Южная Корея</t>
  </si>
  <si>
    <t>Израиль</t>
  </si>
  <si>
    <t>Венгрия</t>
  </si>
  <si>
    <t>Австрия</t>
  </si>
  <si>
    <t>Германия</t>
  </si>
  <si>
    <t>Нидерланды</t>
  </si>
  <si>
    <t>Турция</t>
  </si>
  <si>
    <t>Иран</t>
  </si>
  <si>
    <t>Бразилия</t>
  </si>
  <si>
    <t>Бенин</t>
  </si>
  <si>
    <t>Чехия</t>
  </si>
  <si>
    <t>Индия</t>
  </si>
  <si>
    <t>США</t>
  </si>
  <si>
    <t>Польша</t>
  </si>
  <si>
    <t>Литва</t>
  </si>
  <si>
    <t>Швейцария</t>
  </si>
  <si>
    <t>Финляндия</t>
  </si>
  <si>
    <t>Монголия</t>
  </si>
  <si>
    <t>Туркменистан</t>
  </si>
  <si>
    <t>Канада</t>
  </si>
  <si>
    <t>Словакия</t>
  </si>
  <si>
    <t>Азербайджан</t>
  </si>
  <si>
    <t>Бельгия</t>
  </si>
  <si>
    <t>Чили</t>
  </si>
  <si>
    <t>Франция</t>
  </si>
  <si>
    <t>Эстония</t>
  </si>
  <si>
    <t>Латвия</t>
  </si>
  <si>
    <t>Исландия</t>
  </si>
  <si>
    <t>ИТОГО</t>
  </si>
  <si>
    <t>ввоз</t>
  </si>
  <si>
    <t xml:space="preserve">Лошади </t>
  </si>
  <si>
    <t>гол.</t>
  </si>
  <si>
    <t>КРС</t>
  </si>
  <si>
    <t>Мясо птицы</t>
  </si>
  <si>
    <t>тн.</t>
  </si>
  <si>
    <t>Куриные лапки</t>
  </si>
  <si>
    <t>Кормовые добавки</t>
  </si>
  <si>
    <t>Рыба замороженная и морепродукты</t>
  </si>
  <si>
    <t>Корм для рыб</t>
  </si>
  <si>
    <t>Ветпрепараты</t>
  </si>
  <si>
    <t>Корм для собак и кошек</t>
  </si>
  <si>
    <t>Икра оплодотворенная</t>
  </si>
  <si>
    <t>шт.</t>
  </si>
  <si>
    <t>Корм для непродуктивных животных</t>
  </si>
  <si>
    <t>Инкубационные яйца</t>
  </si>
  <si>
    <t>Субпродукты КРС</t>
  </si>
  <si>
    <t>Конские шкуры</t>
  </si>
  <si>
    <t>Сгущенное молоко</t>
  </si>
  <si>
    <t>Говядина</t>
  </si>
  <si>
    <t>Бычий стержень</t>
  </si>
  <si>
    <t>Корм для животных и птиц</t>
  </si>
  <si>
    <t>Собака</t>
  </si>
  <si>
    <t>Сперма быков</t>
  </si>
  <si>
    <t>доз.</t>
  </si>
  <si>
    <t>Молочная продукция</t>
  </si>
  <si>
    <t>Курдюк МРС</t>
  </si>
  <si>
    <t>Суточные цыплята</t>
  </si>
  <si>
    <t>Мороженое</t>
  </si>
  <si>
    <t>Устрицы</t>
  </si>
  <si>
    <t>Колбасные изделия</t>
  </si>
  <si>
    <t>Творожные шарики</t>
  </si>
  <si>
    <t>Рыбные консервы</t>
  </si>
  <si>
    <t>Шкура верблюда</t>
  </si>
  <si>
    <t>Говяжьи книжки</t>
  </si>
  <si>
    <t>Сыр</t>
  </si>
  <si>
    <t>Шерсть МРС</t>
  </si>
  <si>
    <t>Пчелопакеты</t>
  </si>
  <si>
    <t>Заменитель молока</t>
  </si>
  <si>
    <t>Малёк</t>
  </si>
  <si>
    <t>Икра</t>
  </si>
  <si>
    <t>Мясная продукция</t>
  </si>
  <si>
    <t>Сыворотка</t>
  </si>
  <si>
    <t>Суточные индюшата</t>
  </si>
  <si>
    <t>Шрот</t>
  </si>
  <si>
    <t>Йогурт</t>
  </si>
  <si>
    <t>Сливочное масло</t>
  </si>
  <si>
    <t>Живые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</si>
</sst>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textRotation="90" shrinkToFit="1"/>
    </xf>
    <xf numFmtId="1" fontId="1" fillId="0" borderId="1" xfId="0" applyNumberFormat="1" applyFont="1" applyFill="1" applyBorder="1" applyAlignment="1">
      <alignment horizontal="right" textRotation="90" shrinkToFit="1"/>
    </xf>
    <xf numFmtId="1" fontId="1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 shrinkToFit="1"/>
    </xf>
    <xf numFmtId="3" fontId="1" fillId="0" borderId="1" xfId="0" applyNumberFormat="1" applyFont="1" applyFill="1" applyBorder="1" applyAlignment="1">
      <alignment horizontal="right" shrinkToFit="1"/>
    </xf>
    <xf numFmtId="164" fontId="2" fillId="0" borderId="1" xfId="0" applyNumberFormat="1" applyFont="1" applyFill="1" applyBorder="1" applyAlignment="1">
      <alignment horizontal="right" shrinkToFit="1"/>
    </xf>
    <xf numFmtId="164" fontId="1" fillId="0" borderId="1" xfId="0" applyNumberFormat="1" applyFont="1" applyFill="1" applyBorder="1" applyAlignment="1">
      <alignment horizontal="right" shrinkToFit="1"/>
    </xf>
    <xf numFmtId="164" fontId="2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shrinkToFit="1"/>
    </xf>
    <xf numFmtId="1" fontId="2" fillId="0" borderId="1" xfId="0" applyNumberFormat="1" applyFont="1" applyBorder="1" applyAlignment="1">
      <alignment wrapText="1"/>
    </xf>
    <xf numFmtId="1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 shrinkToFit="1"/>
    </xf>
    <xf numFmtId="165" fontId="2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shrinkToFi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tabSelected="1" topLeftCell="J1" workbookViewId="0">
      <selection activeCell="AB47" sqref="AA47:AB47"/>
    </sheetView>
  </sheetViews>
  <sheetFormatPr defaultRowHeight="15" x14ac:dyDescent="0.25"/>
  <cols>
    <col min="1" max="1" width="3.28515625" bestFit="1" customWidth="1"/>
    <col min="2" max="2" width="19.42578125" bestFit="1" customWidth="1"/>
    <col min="3" max="3" width="8.42578125" bestFit="1" customWidth="1"/>
    <col min="4" max="4" width="9" bestFit="1" customWidth="1"/>
    <col min="5" max="5" width="8.42578125" bestFit="1" customWidth="1"/>
    <col min="6" max="6" width="7.85546875" bestFit="1" customWidth="1"/>
    <col min="7" max="8" width="11.28515625" bestFit="1" customWidth="1"/>
    <col min="10" max="10" width="10.140625" bestFit="1" customWidth="1"/>
    <col min="11" max="11" width="5" bestFit="1" customWidth="1"/>
    <col min="13" max="14" width="6.140625" bestFit="1" customWidth="1"/>
    <col min="15" max="15" width="7.28515625" bestFit="1" customWidth="1"/>
    <col min="16" max="16" width="5" bestFit="1" customWidth="1"/>
    <col min="17" max="18" width="6.140625" bestFit="1" customWidth="1"/>
    <col min="19" max="19" width="10.140625" bestFit="1" customWidth="1"/>
    <col min="20" max="20" width="6.140625" bestFit="1" customWidth="1"/>
    <col min="21" max="21" width="7.28515625" bestFit="1" customWidth="1"/>
    <col min="22" max="22" width="8.42578125" bestFit="1" customWidth="1"/>
    <col min="23" max="23" width="6.140625" bestFit="1" customWidth="1"/>
    <col min="24" max="24" width="9.28515625" bestFit="1" customWidth="1"/>
    <col min="25" max="26" width="10.140625" bestFit="1" customWidth="1"/>
    <col min="27" max="27" width="7.85546875" bestFit="1" customWidth="1"/>
    <col min="28" max="28" width="7.28515625" bestFit="1" customWidth="1"/>
    <col min="29" max="29" width="6.140625" bestFit="1" customWidth="1"/>
    <col min="30" max="30" width="5" bestFit="1" customWidth="1"/>
    <col min="31" max="31" width="9.28515625" bestFit="1" customWidth="1"/>
    <col min="32" max="32" width="7.28515625" bestFit="1" customWidth="1"/>
    <col min="33" max="34" width="6.140625" bestFit="1" customWidth="1"/>
    <col min="35" max="35" width="3.85546875" bestFit="1" customWidth="1"/>
    <col min="36" max="36" width="5" bestFit="1" customWidth="1"/>
    <col min="37" max="37" width="10.140625" bestFit="1" customWidth="1"/>
    <col min="38" max="38" width="5" bestFit="1" customWidth="1"/>
    <col min="39" max="39" width="6.140625" bestFit="1" customWidth="1"/>
    <col min="40" max="40" width="10.140625" bestFit="1" customWidth="1"/>
    <col min="41" max="41" width="11.28515625" bestFit="1" customWidth="1"/>
  </cols>
  <sheetData>
    <row r="1" spans="1:4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84.75" x14ac:dyDescent="0.2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6" t="s">
        <v>41</v>
      </c>
    </row>
    <row r="3" spans="1:41" ht="29.25" x14ac:dyDescent="0.25">
      <c r="A3" s="2"/>
      <c r="B3" s="3"/>
      <c r="C3" s="4"/>
      <c r="D3" s="5" t="s">
        <v>42</v>
      </c>
      <c r="E3" s="5" t="s">
        <v>42</v>
      </c>
      <c r="F3" s="5" t="s">
        <v>42</v>
      </c>
      <c r="G3" s="5" t="s">
        <v>42</v>
      </c>
      <c r="H3" s="5" t="s">
        <v>42</v>
      </c>
      <c r="I3" s="5" t="s">
        <v>42</v>
      </c>
      <c r="J3" s="5" t="s">
        <v>42</v>
      </c>
      <c r="K3" s="5" t="s">
        <v>42</v>
      </c>
      <c r="L3" s="5" t="s">
        <v>42</v>
      </c>
      <c r="M3" s="5" t="s">
        <v>42</v>
      </c>
      <c r="N3" s="5" t="s">
        <v>42</v>
      </c>
      <c r="O3" s="5" t="s">
        <v>42</v>
      </c>
      <c r="P3" s="5" t="s">
        <v>42</v>
      </c>
      <c r="Q3" s="5" t="s">
        <v>42</v>
      </c>
      <c r="R3" s="5" t="s">
        <v>42</v>
      </c>
      <c r="S3" s="5" t="s">
        <v>42</v>
      </c>
      <c r="T3" s="5" t="s">
        <v>42</v>
      </c>
      <c r="U3" s="5" t="s">
        <v>42</v>
      </c>
      <c r="V3" s="5" t="s">
        <v>42</v>
      </c>
      <c r="W3" s="5" t="s">
        <v>42</v>
      </c>
      <c r="X3" s="5" t="s">
        <v>42</v>
      </c>
      <c r="Y3" s="5" t="s">
        <v>42</v>
      </c>
      <c r="Z3" s="5" t="s">
        <v>42</v>
      </c>
      <c r="AA3" s="5" t="s">
        <v>42</v>
      </c>
      <c r="AB3" s="5" t="s">
        <v>42</v>
      </c>
      <c r="AC3" s="5" t="s">
        <v>42</v>
      </c>
      <c r="AD3" s="5" t="s">
        <v>42</v>
      </c>
      <c r="AE3" s="5" t="s">
        <v>42</v>
      </c>
      <c r="AF3" s="5" t="s">
        <v>42</v>
      </c>
      <c r="AG3" s="5" t="s">
        <v>42</v>
      </c>
      <c r="AH3" s="5" t="s">
        <v>42</v>
      </c>
      <c r="AI3" s="5" t="s">
        <v>42</v>
      </c>
      <c r="AJ3" s="5" t="s">
        <v>42</v>
      </c>
      <c r="AK3" s="5" t="s">
        <v>42</v>
      </c>
      <c r="AL3" s="5" t="s">
        <v>42</v>
      </c>
      <c r="AM3" s="5" t="s">
        <v>42</v>
      </c>
      <c r="AN3" s="5" t="s">
        <v>42</v>
      </c>
      <c r="AO3" s="6"/>
    </row>
    <row r="4" spans="1:41" ht="15.75" x14ac:dyDescent="0.25">
      <c r="A4" s="7">
        <v>1</v>
      </c>
      <c r="B4" s="8" t="s">
        <v>43</v>
      </c>
      <c r="C4" s="9" t="s">
        <v>44</v>
      </c>
      <c r="D4" s="10"/>
      <c r="E4" s="10">
        <f>5+1</f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7</v>
      </c>
      <c r="Z4" s="10">
        <f>38+83+53+146+45+126+60+70+84</f>
        <v>705</v>
      </c>
      <c r="AA4" s="10">
        <f>4+9+5</f>
        <v>18</v>
      </c>
      <c r="AB4" s="10"/>
      <c r="AC4" s="10"/>
      <c r="AD4" s="10"/>
      <c r="AE4" s="10"/>
      <c r="AF4" s="10"/>
      <c r="AG4" s="10"/>
      <c r="AH4" s="10">
        <f>103+48+100+192</f>
        <v>443</v>
      </c>
      <c r="AI4" s="10"/>
      <c r="AJ4" s="10"/>
      <c r="AK4" s="10"/>
      <c r="AL4" s="10"/>
      <c r="AM4" s="10"/>
      <c r="AN4" s="10"/>
      <c r="AO4" s="11">
        <f>SUM(D4:AN4)</f>
        <v>1179</v>
      </c>
    </row>
    <row r="5" spans="1:41" ht="15.75" x14ac:dyDescent="0.25">
      <c r="A5" s="7">
        <v>2</v>
      </c>
      <c r="B5" s="8" t="s">
        <v>45</v>
      </c>
      <c r="C5" s="9" t="s">
        <v>44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v>63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>
        <f>SUM(D5:AN5)</f>
        <v>63</v>
      </c>
    </row>
    <row r="6" spans="1:41" ht="31.5" x14ac:dyDescent="0.25">
      <c r="A6" s="7">
        <v>3</v>
      </c>
      <c r="B6" s="8" t="s">
        <v>46</v>
      </c>
      <c r="C6" s="9" t="s">
        <v>47</v>
      </c>
      <c r="D6" s="12">
        <f>72+2616+2304+4133.5+3960.6+4440+6521.908+5661.41+5495.9+5467.6</f>
        <v>40672.917999999998</v>
      </c>
      <c r="E6" s="12"/>
      <c r="F6" s="12">
        <f>152.419+274.974+820.907+1012.515+827.836+826.177+475.819+165.243+131.502+111.945</f>
        <v>4799.3370000000004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>
        <v>180</v>
      </c>
      <c r="Z6" s="12"/>
      <c r="AA6" s="12">
        <f>144.9+227.7+163.304+186.3+351.9+372.6+310.5+351.9+517.5</f>
        <v>2626.6039999999998</v>
      </c>
      <c r="AB6" s="12"/>
      <c r="AC6" s="12"/>
      <c r="AD6" s="12"/>
      <c r="AE6" s="12"/>
      <c r="AF6" s="12"/>
      <c r="AG6" s="12">
        <f>39.2+39.68+40.8+40.8</f>
        <v>160.47999999999999</v>
      </c>
      <c r="AH6" s="12"/>
      <c r="AI6" s="12"/>
      <c r="AJ6" s="12"/>
      <c r="AK6" s="12"/>
      <c r="AL6" s="12"/>
      <c r="AM6" s="12">
        <f>19.632+20.7+20.7+331.2</f>
        <v>392.23199999999997</v>
      </c>
      <c r="AN6" s="12"/>
      <c r="AO6" s="13">
        <f t="shared" ref="AO6:AO46" si="0">SUM(D6:AN6)</f>
        <v>48831.570999999996</v>
      </c>
    </row>
    <row r="7" spans="1:41" ht="31.5" x14ac:dyDescent="0.25">
      <c r="A7" s="7">
        <v>4</v>
      </c>
      <c r="B7" s="8" t="s">
        <v>48</v>
      </c>
      <c r="C7" s="9" t="s">
        <v>47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f>20+20</f>
        <v>40</v>
      </c>
      <c r="T7" s="12">
        <f>63+105+125+127+126+103+42+84</f>
        <v>775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3">
        <f t="shared" si="0"/>
        <v>815</v>
      </c>
    </row>
    <row r="8" spans="1:41" ht="47.25" x14ac:dyDescent="0.25">
      <c r="A8" s="7">
        <v>5</v>
      </c>
      <c r="B8" s="8" t="s">
        <v>49</v>
      </c>
      <c r="C8" s="9" t="s">
        <v>47</v>
      </c>
      <c r="D8" s="14">
        <f>28+82.7+45.2+27.4+107.2+87+82</f>
        <v>459.5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>
        <v>65</v>
      </c>
      <c r="Q8" s="12"/>
      <c r="R8" s="12"/>
      <c r="S8" s="12">
        <f>44.5+66+22+66+0.03+66+22+22+44+44</f>
        <v>396.53</v>
      </c>
      <c r="T8" s="12"/>
      <c r="U8" s="12"/>
      <c r="V8" s="12"/>
      <c r="W8" s="12">
        <f>20.55+65.5+20</f>
        <v>106.05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3">
        <f t="shared" si="0"/>
        <v>1027.08</v>
      </c>
    </row>
    <row r="9" spans="1:41" ht="94.5" x14ac:dyDescent="0.25">
      <c r="A9" s="7">
        <v>6</v>
      </c>
      <c r="B9" s="8" t="s">
        <v>50</v>
      </c>
      <c r="C9" s="9" t="s">
        <v>47</v>
      </c>
      <c r="D9" s="12">
        <f>24+18+25.74+8</f>
        <v>75.739999999999995</v>
      </c>
      <c r="E9" s="12">
        <v>0.4</v>
      </c>
      <c r="F9" s="12"/>
      <c r="G9" s="12"/>
      <c r="H9" s="12"/>
      <c r="I9" s="12">
        <f>31.89+34.223+18.928+88.502+75.51</f>
        <v>249.053</v>
      </c>
      <c r="J9" s="12"/>
      <c r="K9" s="12"/>
      <c r="L9" s="12">
        <v>18.638000000000002</v>
      </c>
      <c r="M9" s="12"/>
      <c r="N9" s="12"/>
      <c r="O9" s="12"/>
      <c r="P9" s="12"/>
      <c r="Q9" s="12"/>
      <c r="R9" s="12"/>
      <c r="S9" s="12">
        <f>18.64+18.32</f>
        <v>36.96</v>
      </c>
      <c r="T9" s="12"/>
      <c r="U9" s="12"/>
      <c r="V9" s="12"/>
      <c r="W9" s="12"/>
      <c r="X9" s="12"/>
      <c r="Y9" s="12"/>
      <c r="Z9" s="12"/>
      <c r="AA9" s="12">
        <f>20.4+155.078+112.929+119.052+36.891+38.12+39.24+59.252+58.001</f>
        <v>638.96299999999997</v>
      </c>
      <c r="AB9" s="12"/>
      <c r="AC9" s="12"/>
      <c r="AD9" s="12"/>
      <c r="AE9" s="12"/>
      <c r="AF9" s="12"/>
      <c r="AG9" s="12"/>
      <c r="AH9" s="12"/>
      <c r="AI9" s="12"/>
      <c r="AJ9" s="12">
        <f>17.41+18.474+18.473+18.366+18.418</f>
        <v>91.140999999999991</v>
      </c>
      <c r="AK9" s="12"/>
      <c r="AL9" s="12">
        <f>19.14+19.14</f>
        <v>38.28</v>
      </c>
      <c r="AM9" s="12"/>
      <c r="AN9" s="12">
        <v>19.5</v>
      </c>
      <c r="AO9" s="13">
        <f t="shared" si="0"/>
        <v>1168.675</v>
      </c>
    </row>
    <row r="10" spans="1:41" ht="31.5" x14ac:dyDescent="0.25">
      <c r="A10" s="7">
        <v>7</v>
      </c>
      <c r="B10" s="8" t="s">
        <v>51</v>
      </c>
      <c r="C10" s="9" t="s">
        <v>47</v>
      </c>
      <c r="D10" s="12">
        <f>26.5+83.94+55+56+56</f>
        <v>277.44</v>
      </c>
      <c r="E10" s="12"/>
      <c r="F10" s="12"/>
      <c r="G10" s="12">
        <f>41.9+46.3+65.425+42.35+61.725+41.9+42.325</f>
        <v>341.92499999999995</v>
      </c>
      <c r="H10" s="12">
        <v>11</v>
      </c>
      <c r="I10" s="12"/>
      <c r="J10" s="12"/>
      <c r="K10" s="12"/>
      <c r="L10" s="12"/>
      <c r="M10" s="12"/>
      <c r="N10" s="12"/>
      <c r="O10" s="12"/>
      <c r="P10" s="12"/>
      <c r="Q10" s="12">
        <f>43+64.5</f>
        <v>107.5</v>
      </c>
      <c r="R10" s="12">
        <f>43+43+66</f>
        <v>152</v>
      </c>
      <c r="S10" s="12">
        <f>22+22.5+109.8+66.5+66.5+22.5+110.5+199.65</f>
        <v>619.95000000000005</v>
      </c>
      <c r="T10" s="12">
        <f>22.8+21+23+45.2+22.9+45.9</f>
        <v>180.8</v>
      </c>
      <c r="U10" s="12"/>
      <c r="V10" s="12"/>
      <c r="W10" s="12"/>
      <c r="X10" s="12"/>
      <c r="Y10" s="12"/>
      <c r="Z10" s="12">
        <f>195+382.51+380.02+380.01+572.5+312.5+632.5+885</f>
        <v>3740.04</v>
      </c>
      <c r="AA10" s="12"/>
      <c r="AB10" s="12"/>
      <c r="AC10" s="12">
        <f>64.3+63+63+252+63</f>
        <v>505.3</v>
      </c>
      <c r="AD10" s="12"/>
      <c r="AE10" s="12"/>
      <c r="AF10" s="12"/>
      <c r="AG10" s="12"/>
      <c r="AH10" s="12"/>
      <c r="AI10" s="12">
        <v>0.20699999999999999</v>
      </c>
      <c r="AJ10" s="12"/>
      <c r="AK10" s="12"/>
      <c r="AL10" s="12"/>
      <c r="AM10" s="12"/>
      <c r="AN10" s="12"/>
      <c r="AO10" s="13">
        <f t="shared" si="0"/>
        <v>5936.1620000000003</v>
      </c>
    </row>
    <row r="11" spans="1:41" ht="31.5" x14ac:dyDescent="0.25">
      <c r="A11" s="7">
        <v>8</v>
      </c>
      <c r="B11" s="8" t="s">
        <v>52</v>
      </c>
      <c r="C11" s="9" t="s">
        <v>47</v>
      </c>
      <c r="D11" s="12">
        <f>15.965+10.8+5.262+56+26.165</f>
        <v>114.19200000000001</v>
      </c>
      <c r="E11" s="12"/>
      <c r="F11" s="12"/>
      <c r="G11" s="12"/>
      <c r="H11" s="12">
        <v>2.4359999999999999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>
        <f>0.094+0.286+0.076+0.014+0.476+0.033</f>
        <v>0.97899999999999998</v>
      </c>
      <c r="T11" s="12"/>
      <c r="U11" s="12"/>
      <c r="V11" s="12"/>
      <c r="W11" s="12"/>
      <c r="X11" s="12"/>
      <c r="Y11" s="12"/>
      <c r="Z11" s="12"/>
      <c r="AA11" s="15">
        <v>3.7999999999999999E-2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5">
        <v>3.2000000000000001E-2</v>
      </c>
      <c r="AN11" s="12"/>
      <c r="AO11" s="13">
        <f t="shared" si="0"/>
        <v>117.67700000000001</v>
      </c>
    </row>
    <row r="12" spans="1:41" ht="63" x14ac:dyDescent="0.25">
      <c r="A12" s="7">
        <v>9</v>
      </c>
      <c r="B12" s="8" t="s">
        <v>53</v>
      </c>
      <c r="C12" s="9" t="s">
        <v>47</v>
      </c>
      <c r="D12" s="12">
        <f>24.508+23.175</f>
        <v>47.683</v>
      </c>
      <c r="E12" s="12">
        <v>21.6526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>
        <v>22.4</v>
      </c>
      <c r="R12" s="12"/>
      <c r="S12" s="12">
        <f>6.2+21</f>
        <v>27.2</v>
      </c>
      <c r="T12" s="12"/>
      <c r="U12" s="12"/>
      <c r="V12" s="12"/>
      <c r="W12" s="12">
        <f>22.444+13.533</f>
        <v>35.976999999999997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3">
        <f t="shared" si="0"/>
        <v>154.9126</v>
      </c>
    </row>
    <row r="13" spans="1:41" ht="63" x14ac:dyDescent="0.25">
      <c r="A13" s="7">
        <v>10</v>
      </c>
      <c r="B13" s="8" t="s">
        <v>54</v>
      </c>
      <c r="C13" s="9" t="s">
        <v>55</v>
      </c>
      <c r="D13" s="10"/>
      <c r="E13" s="10">
        <v>150000</v>
      </c>
      <c r="F13" s="10"/>
      <c r="G13" s="10">
        <f>200000+1100000+4500000+1300000+900000+800000+1900000+1400000</f>
        <v>12100000</v>
      </c>
      <c r="H13" s="10">
        <f>2000000+1320000+524000+3340000+770000+1470000+1540000+2260000</f>
        <v>13224000</v>
      </c>
      <c r="I13" s="10">
        <f>4320000+1100000+1250000+4250000+750000+890000+900000</f>
        <v>13460000</v>
      </c>
      <c r="J13" s="10">
        <f>400000+2100000</f>
        <v>2500000</v>
      </c>
      <c r="K13" s="10"/>
      <c r="L13" s="10"/>
      <c r="M13" s="10"/>
      <c r="N13" s="10"/>
      <c r="O13" s="10"/>
      <c r="P13" s="10"/>
      <c r="Q13" s="10"/>
      <c r="R13" s="10"/>
      <c r="S13" s="10">
        <f>380000+240000+280000+400000+300000+300000+450000+250000</f>
        <v>2600000</v>
      </c>
      <c r="T13" s="10"/>
      <c r="U13" s="10"/>
      <c r="V13" s="10"/>
      <c r="W13" s="10"/>
      <c r="X13" s="10"/>
      <c r="Y13" s="10">
        <f>650000+400000+250000+250000+650000+600000+1300000</f>
        <v>4100000</v>
      </c>
      <c r="Z13" s="10">
        <v>2400000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>
        <v>800000</v>
      </c>
      <c r="AL13" s="10"/>
      <c r="AM13" s="10"/>
      <c r="AN13" s="10">
        <f>64000+200000+200000+67000+67000+117000+67000+67000+67000+104000</f>
        <v>1020000</v>
      </c>
      <c r="AO13" s="11">
        <f t="shared" si="0"/>
        <v>52354000</v>
      </c>
    </row>
    <row r="14" spans="1:41" ht="110.25" x14ac:dyDescent="0.25">
      <c r="A14" s="7">
        <v>11</v>
      </c>
      <c r="B14" s="8" t="s">
        <v>56</v>
      </c>
      <c r="C14" s="9" t="s">
        <v>47</v>
      </c>
      <c r="D14" s="12"/>
      <c r="E14" s="12"/>
      <c r="F14" s="12">
        <f>21.715+21.598+2+21.721+21.563</f>
        <v>88.597000000000008</v>
      </c>
      <c r="G14" s="12">
        <v>2.75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>
        <f>19.5+20.403+14.4+44.555</f>
        <v>98.858000000000004</v>
      </c>
      <c r="T14" s="12"/>
      <c r="U14" s="12"/>
      <c r="V14" s="12"/>
      <c r="W14" s="12">
        <v>20.276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>
        <v>18.137</v>
      </c>
      <c r="AL14" s="12"/>
      <c r="AM14" s="12"/>
      <c r="AN14" s="12"/>
      <c r="AO14" s="13">
        <f t="shared" si="0"/>
        <v>228.61800000000002</v>
      </c>
    </row>
    <row r="15" spans="1:41" ht="47.25" x14ac:dyDescent="0.25">
      <c r="A15" s="7">
        <v>12</v>
      </c>
      <c r="B15" s="8" t="s">
        <v>57</v>
      </c>
      <c r="C15" s="9" t="s">
        <v>55</v>
      </c>
      <c r="D15" s="10"/>
      <c r="E15" s="10">
        <f>177600+172800+115200+171018+66240+74400</f>
        <v>777258</v>
      </c>
      <c r="F15" s="10"/>
      <c r="G15" s="10"/>
      <c r="H15" s="10"/>
      <c r="I15" s="10">
        <v>3000</v>
      </c>
      <c r="J15" s="10"/>
      <c r="K15" s="10"/>
      <c r="L15" s="10"/>
      <c r="M15" s="10"/>
      <c r="N15" s="10"/>
      <c r="O15" s="10"/>
      <c r="P15" s="10"/>
      <c r="Q15" s="10"/>
      <c r="R15" s="10"/>
      <c r="S15" s="10">
        <f>711000+418680+604800+581400+945720+642960+602640+233280+233280</f>
        <v>4973760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>
        <f>8000+12000+29000+5000</f>
        <v>54000</v>
      </c>
      <c r="AL15" s="10"/>
      <c r="AM15" s="10"/>
      <c r="AN15" s="10"/>
      <c r="AO15" s="11">
        <f t="shared" si="0"/>
        <v>5808018</v>
      </c>
    </row>
    <row r="16" spans="1:41" ht="47.25" x14ac:dyDescent="0.25">
      <c r="A16" s="7">
        <v>13</v>
      </c>
      <c r="B16" s="16" t="s">
        <v>58</v>
      </c>
      <c r="C16" s="17" t="s">
        <v>47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>
        <f>28.018+20.5</f>
        <v>48.518000000000001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3">
        <f t="shared" si="0"/>
        <v>48.518000000000001</v>
      </c>
    </row>
    <row r="17" spans="1:41" ht="15.75" x14ac:dyDescent="0.25">
      <c r="A17" s="7">
        <v>14</v>
      </c>
      <c r="B17" s="19" t="s">
        <v>59</v>
      </c>
      <c r="C17" s="19" t="s">
        <v>55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>
        <f>13355+21000+12300+15650+9410+12180+24140</f>
        <v>108035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11">
        <f t="shared" si="0"/>
        <v>108035</v>
      </c>
    </row>
    <row r="18" spans="1:41" ht="47.25" x14ac:dyDescent="0.25">
      <c r="A18" s="7">
        <v>15</v>
      </c>
      <c r="B18" s="16" t="s">
        <v>60</v>
      </c>
      <c r="C18" s="17" t="s">
        <v>47</v>
      </c>
      <c r="D18" s="18"/>
      <c r="E18" s="18">
        <f>12.8279+6.26</f>
        <v>19.087899999999998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3">
        <f t="shared" si="0"/>
        <v>19.087899999999998</v>
      </c>
    </row>
    <row r="19" spans="1:41" ht="31.5" x14ac:dyDescent="0.25">
      <c r="A19" s="7">
        <v>16</v>
      </c>
      <c r="B19" s="16" t="s">
        <v>61</v>
      </c>
      <c r="C19" s="17" t="s">
        <v>47</v>
      </c>
      <c r="D19" s="18"/>
      <c r="E19" s="18"/>
      <c r="F19" s="18">
        <f>20+21</f>
        <v>41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>
        <v>40</v>
      </c>
      <c r="V19" s="18"/>
      <c r="W19" s="21">
        <v>21</v>
      </c>
      <c r="X19" s="18">
        <f>106+22+84+106+44+44+215.988</f>
        <v>621.98800000000006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>
        <v>0.4</v>
      </c>
      <c r="AL19" s="18"/>
      <c r="AM19" s="18"/>
      <c r="AN19" s="18"/>
      <c r="AO19" s="13">
        <f t="shared" si="0"/>
        <v>724.38800000000003</v>
      </c>
    </row>
    <row r="20" spans="1:41" ht="47.25" x14ac:dyDescent="0.25">
      <c r="A20" s="7">
        <v>17</v>
      </c>
      <c r="B20" s="16" t="s">
        <v>62</v>
      </c>
      <c r="C20" s="17" t="s">
        <v>47</v>
      </c>
      <c r="D20" s="18"/>
      <c r="E20" s="18">
        <f>20.7+63+21.2+13.4</f>
        <v>118.30000000000001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3">
        <f t="shared" si="0"/>
        <v>118.30000000000001</v>
      </c>
    </row>
    <row r="21" spans="1:41" ht="78.75" x14ac:dyDescent="0.25">
      <c r="A21" s="7">
        <v>18</v>
      </c>
      <c r="B21" s="16" t="s">
        <v>63</v>
      </c>
      <c r="C21" s="17" t="s">
        <v>47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>
        <f>44+22+44.5+61.5+20.035</f>
        <v>192.035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3">
        <f t="shared" si="0"/>
        <v>192.035</v>
      </c>
    </row>
    <row r="22" spans="1:41" ht="15.75" x14ac:dyDescent="0.25">
      <c r="A22" s="7">
        <v>19</v>
      </c>
      <c r="B22" s="16" t="s">
        <v>64</v>
      </c>
      <c r="C22" s="17" t="s">
        <v>44</v>
      </c>
      <c r="D22" s="20"/>
      <c r="E22" s="20">
        <v>1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>
        <v>1</v>
      </c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11">
        <f t="shared" si="0"/>
        <v>2</v>
      </c>
    </row>
    <row r="23" spans="1:41" ht="31.5" x14ac:dyDescent="0.25">
      <c r="A23" s="7">
        <v>20</v>
      </c>
      <c r="B23" s="16" t="s">
        <v>65</v>
      </c>
      <c r="C23" s="17" t="s">
        <v>66</v>
      </c>
      <c r="D23" s="20"/>
      <c r="E23" s="20"/>
      <c r="F23" s="20"/>
      <c r="G23" s="20"/>
      <c r="H23" s="20"/>
      <c r="I23" s="20"/>
      <c r="J23" s="20"/>
      <c r="K23" s="20"/>
      <c r="L23" s="20"/>
      <c r="M23" s="20">
        <v>2000</v>
      </c>
      <c r="N23" s="20">
        <v>2200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>
        <f>27758+1416</f>
        <v>29174</v>
      </c>
      <c r="Z23" s="20"/>
      <c r="AA23" s="20"/>
      <c r="AB23" s="20">
        <f>13364+26673+48505</f>
        <v>88542</v>
      </c>
      <c r="AC23" s="20"/>
      <c r="AD23" s="20"/>
      <c r="AE23" s="20"/>
      <c r="AF23" s="20">
        <f>12000+22437+32318</f>
        <v>66755</v>
      </c>
      <c r="AG23" s="20"/>
      <c r="AH23" s="20"/>
      <c r="AI23" s="20"/>
      <c r="AJ23" s="20"/>
      <c r="AK23" s="20"/>
      <c r="AL23" s="20"/>
      <c r="AM23" s="20"/>
      <c r="AN23" s="20"/>
      <c r="AO23" s="11">
        <f t="shared" si="0"/>
        <v>188671</v>
      </c>
    </row>
    <row r="24" spans="1:41" ht="63" x14ac:dyDescent="0.25">
      <c r="A24" s="7">
        <v>21</v>
      </c>
      <c r="B24" s="16" t="s">
        <v>67</v>
      </c>
      <c r="C24" s="17" t="s">
        <v>47</v>
      </c>
      <c r="D24" s="18"/>
      <c r="E24" s="18">
        <f>3.5202+7.1139+0.72+1.003</f>
        <v>12.357100000000001</v>
      </c>
      <c r="F24" s="18">
        <v>19.5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>
        <f>13.299+23.328+46.912+18.158+59.45+15.915+50.046</f>
        <v>227.10799999999998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3">
        <f t="shared" si="0"/>
        <v>258.96510000000001</v>
      </c>
    </row>
    <row r="25" spans="1:41" ht="31.5" x14ac:dyDescent="0.25">
      <c r="A25" s="7">
        <v>22</v>
      </c>
      <c r="B25" s="16" t="s">
        <v>68</v>
      </c>
      <c r="C25" s="17" t="s">
        <v>47</v>
      </c>
      <c r="D25" s="18">
        <f>25+24+139+93+24+120+120</f>
        <v>545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3">
        <f t="shared" si="0"/>
        <v>545</v>
      </c>
    </row>
    <row r="26" spans="1:41" ht="63" x14ac:dyDescent="0.25">
      <c r="A26" s="7">
        <v>23</v>
      </c>
      <c r="B26" s="16" t="s">
        <v>69</v>
      </c>
      <c r="C26" s="17" t="s">
        <v>44</v>
      </c>
      <c r="D26" s="20"/>
      <c r="E26" s="20">
        <f>40000+20000+24000+45000</f>
        <v>129000</v>
      </c>
      <c r="F26" s="20"/>
      <c r="G26" s="20"/>
      <c r="H26" s="20"/>
      <c r="I26" s="20"/>
      <c r="J26" s="20"/>
      <c r="K26" s="20"/>
      <c r="L26" s="20"/>
      <c r="M26" s="20"/>
      <c r="N26" s="20"/>
      <c r="O26" s="20">
        <v>42120</v>
      </c>
      <c r="P26" s="20"/>
      <c r="Q26" s="20"/>
      <c r="R26" s="20"/>
      <c r="S26" s="20">
        <f>104000+41600</f>
        <v>145600</v>
      </c>
      <c r="T26" s="20"/>
      <c r="U26" s="20">
        <v>15520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11">
        <f t="shared" si="0"/>
        <v>332240</v>
      </c>
    </row>
    <row r="27" spans="1:41" ht="31.5" x14ac:dyDescent="0.25">
      <c r="A27" s="7">
        <v>24</v>
      </c>
      <c r="B27" s="16" t="s">
        <v>70</v>
      </c>
      <c r="C27" s="17" t="s">
        <v>47</v>
      </c>
      <c r="D27" s="18"/>
      <c r="E27" s="18">
        <f>17.4+29.6+27.85+33.888+17.9+8.4</f>
        <v>135.03800000000001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f>11.918+11.934+11.496</f>
        <v>35.347999999999999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3">
        <f t="shared" si="0"/>
        <v>170.38600000000002</v>
      </c>
    </row>
    <row r="28" spans="1:41" ht="31.5" x14ac:dyDescent="0.25">
      <c r="A28" s="7">
        <v>25</v>
      </c>
      <c r="B28" s="16" t="s">
        <v>71</v>
      </c>
      <c r="C28" s="17" t="s">
        <v>55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>
        <f>1000000+1500000</f>
        <v>2500000</v>
      </c>
      <c r="AL28" s="20"/>
      <c r="AM28" s="20"/>
      <c r="AN28" s="20"/>
      <c r="AO28" s="11">
        <f t="shared" si="0"/>
        <v>2500000</v>
      </c>
    </row>
    <row r="29" spans="1:41" ht="47.25" x14ac:dyDescent="0.25">
      <c r="A29" s="7">
        <v>26</v>
      </c>
      <c r="B29" s="16" t="s">
        <v>72</v>
      </c>
      <c r="C29" s="17" t="s">
        <v>47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2">
        <v>2.5000000000000001E-2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3">
        <f t="shared" si="0"/>
        <v>2.5000000000000001E-2</v>
      </c>
    </row>
    <row r="30" spans="1:41" ht="47.25" x14ac:dyDescent="0.25">
      <c r="A30" s="7">
        <v>27</v>
      </c>
      <c r="B30" s="16" t="s">
        <v>73</v>
      </c>
      <c r="C30" s="17" t="s">
        <v>47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>
        <f>5+9.66</f>
        <v>14.66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3">
        <f t="shared" si="0"/>
        <v>14.66</v>
      </c>
    </row>
    <row r="31" spans="1:41" ht="47.25" x14ac:dyDescent="0.25">
      <c r="A31" s="7">
        <v>28</v>
      </c>
      <c r="B31" s="16" t="s">
        <v>74</v>
      </c>
      <c r="C31" s="17" t="s">
        <v>47</v>
      </c>
      <c r="D31" s="18">
        <f>18.012+18.1</f>
        <v>36.112000000000002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3">
        <f t="shared" si="0"/>
        <v>36.112000000000002</v>
      </c>
    </row>
    <row r="32" spans="1:41" ht="47.25" x14ac:dyDescent="0.25">
      <c r="A32" s="7">
        <v>29</v>
      </c>
      <c r="B32" s="16" t="s">
        <v>75</v>
      </c>
      <c r="C32" s="17" t="s">
        <v>55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>
        <f>5000</f>
        <v>5000</v>
      </c>
      <c r="AF32" s="20"/>
      <c r="AG32" s="20"/>
      <c r="AH32" s="20"/>
      <c r="AI32" s="20"/>
      <c r="AJ32" s="20"/>
      <c r="AK32" s="20"/>
      <c r="AL32" s="20"/>
      <c r="AM32" s="20"/>
      <c r="AN32" s="20"/>
      <c r="AO32" s="11">
        <f t="shared" si="0"/>
        <v>5000</v>
      </c>
    </row>
    <row r="33" spans="1:41" ht="47.25" x14ac:dyDescent="0.25">
      <c r="A33" s="7">
        <v>30</v>
      </c>
      <c r="B33" s="16" t="s">
        <v>76</v>
      </c>
      <c r="C33" s="17" t="s">
        <v>47</v>
      </c>
      <c r="D33" s="18"/>
      <c r="E33" s="18">
        <v>10.199999999999999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3">
        <f t="shared" si="0"/>
        <v>10.199999999999999</v>
      </c>
    </row>
    <row r="34" spans="1:41" ht="15.75" x14ac:dyDescent="0.25">
      <c r="A34" s="7">
        <v>31</v>
      </c>
      <c r="B34" s="16" t="s">
        <v>77</v>
      </c>
      <c r="C34" s="17" t="s">
        <v>47</v>
      </c>
      <c r="D34" s="18"/>
      <c r="E34" s="18"/>
      <c r="F34" s="18">
        <v>18.553999999999998</v>
      </c>
      <c r="G34" s="18">
        <f>0.54764+18.454</f>
        <v>19.001640000000002</v>
      </c>
      <c r="H34" s="18"/>
      <c r="I34" s="18"/>
      <c r="J34" s="18"/>
      <c r="K34" s="18">
        <v>10.433</v>
      </c>
      <c r="L34" s="18"/>
      <c r="M34" s="18"/>
      <c r="N34" s="18"/>
      <c r="O34" s="18"/>
      <c r="P34" s="18"/>
      <c r="Q34" s="18"/>
      <c r="R34" s="18"/>
      <c r="S34" s="18"/>
      <c r="T34" s="18">
        <f>10.849+17.024</f>
        <v>27.873000000000001</v>
      </c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3">
        <f t="shared" si="0"/>
        <v>75.861639999999994</v>
      </c>
    </row>
    <row r="35" spans="1:41" ht="31.5" x14ac:dyDescent="0.25">
      <c r="A35" s="7">
        <v>32</v>
      </c>
      <c r="B35" s="16" t="s">
        <v>78</v>
      </c>
      <c r="C35" s="17" t="s">
        <v>47</v>
      </c>
      <c r="D35" s="18">
        <v>5.1100000000000003</v>
      </c>
      <c r="E35" s="18">
        <v>13.9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>
        <f>37.494+18.344</f>
        <v>55.838000000000001</v>
      </c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3">
        <f t="shared" si="0"/>
        <v>74.847999999999999</v>
      </c>
    </row>
    <row r="36" spans="1:41" ht="31.5" x14ac:dyDescent="0.25">
      <c r="A36" s="7">
        <v>33</v>
      </c>
      <c r="B36" s="16" t="s">
        <v>79</v>
      </c>
      <c r="C36" s="17" t="s">
        <v>55</v>
      </c>
      <c r="D36" s="20"/>
      <c r="E36" s="20">
        <v>688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11">
        <f t="shared" si="0"/>
        <v>688</v>
      </c>
    </row>
    <row r="37" spans="1:41" ht="47.25" x14ac:dyDescent="0.25">
      <c r="A37" s="7">
        <v>34</v>
      </c>
      <c r="B37" s="16" t="s">
        <v>80</v>
      </c>
      <c r="C37" s="17" t="s">
        <v>47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>
        <v>26</v>
      </c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3">
        <f t="shared" si="0"/>
        <v>26</v>
      </c>
    </row>
    <row r="38" spans="1:41" ht="15.75" x14ac:dyDescent="0.25">
      <c r="A38" s="7">
        <v>35</v>
      </c>
      <c r="B38" s="16" t="s">
        <v>81</v>
      </c>
      <c r="C38" s="17" t="s">
        <v>55</v>
      </c>
      <c r="D38" s="20"/>
      <c r="E38" s="20">
        <v>320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11">
        <f t="shared" si="0"/>
        <v>320</v>
      </c>
    </row>
    <row r="39" spans="1:41" ht="15.75" x14ac:dyDescent="0.25">
      <c r="A39" s="7">
        <v>36</v>
      </c>
      <c r="B39" s="16" t="s">
        <v>82</v>
      </c>
      <c r="C39" s="17" t="s">
        <v>47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24"/>
      <c r="AE39" s="24"/>
      <c r="AF39" s="24"/>
      <c r="AG39" s="24"/>
      <c r="AH39" s="24">
        <v>4.0000000000000001E-3</v>
      </c>
      <c r="AI39" s="24"/>
      <c r="AJ39" s="24"/>
      <c r="AK39" s="24"/>
      <c r="AL39" s="24"/>
      <c r="AM39" s="24"/>
      <c r="AN39" s="24"/>
      <c r="AO39" s="25">
        <f t="shared" si="0"/>
        <v>4.0000000000000001E-3</v>
      </c>
    </row>
    <row r="40" spans="1:41" ht="47.25" x14ac:dyDescent="0.25">
      <c r="A40" s="7">
        <v>37</v>
      </c>
      <c r="B40" s="16" t="s">
        <v>83</v>
      </c>
      <c r="C40" s="17" t="s">
        <v>47</v>
      </c>
      <c r="D40" s="18">
        <v>2</v>
      </c>
      <c r="E40" s="18"/>
      <c r="F40" s="18">
        <v>4.1130000000000004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25">
        <f t="shared" si="0"/>
        <v>6.1130000000000004</v>
      </c>
    </row>
    <row r="41" spans="1:41" ht="31.5" x14ac:dyDescent="0.25">
      <c r="A41" s="7">
        <v>38</v>
      </c>
      <c r="B41" s="16" t="s">
        <v>84</v>
      </c>
      <c r="C41" s="17" t="s">
        <v>47</v>
      </c>
      <c r="D41" s="18"/>
      <c r="E41" s="18">
        <f>24+12+24</f>
        <v>60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25">
        <f t="shared" si="0"/>
        <v>60</v>
      </c>
    </row>
    <row r="42" spans="1:41" ht="63" x14ac:dyDescent="0.25">
      <c r="A42" s="7">
        <v>39</v>
      </c>
      <c r="B42" s="16" t="s">
        <v>85</v>
      </c>
      <c r="C42" s="17" t="s">
        <v>44</v>
      </c>
      <c r="D42" s="20"/>
      <c r="E42" s="20">
        <v>120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11">
        <f t="shared" si="0"/>
        <v>120</v>
      </c>
    </row>
    <row r="43" spans="1:41" ht="15.75" x14ac:dyDescent="0.25">
      <c r="A43" s="7">
        <v>40</v>
      </c>
      <c r="B43" s="16" t="s">
        <v>86</v>
      </c>
      <c r="C43" s="17" t="s">
        <v>47</v>
      </c>
      <c r="D43" s="18"/>
      <c r="E43" s="18">
        <v>75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3">
        <f t="shared" si="0"/>
        <v>75</v>
      </c>
    </row>
    <row r="44" spans="1:41" ht="15.75" x14ac:dyDescent="0.25">
      <c r="A44" s="7">
        <v>41</v>
      </c>
      <c r="B44" s="16" t="s">
        <v>87</v>
      </c>
      <c r="C44" s="17" t="s">
        <v>47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>
        <v>5.4279999999999999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3">
        <f t="shared" si="0"/>
        <v>5.4279999999999999</v>
      </c>
    </row>
    <row r="45" spans="1:41" ht="47.25" x14ac:dyDescent="0.25">
      <c r="A45" s="7">
        <v>42</v>
      </c>
      <c r="B45" s="16" t="s">
        <v>88</v>
      </c>
      <c r="C45" s="17" t="s">
        <v>47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>
        <v>0.2</v>
      </c>
      <c r="AL45" s="18"/>
      <c r="AM45" s="18"/>
      <c r="AN45" s="18"/>
      <c r="AO45" s="13">
        <f t="shared" si="0"/>
        <v>0.2</v>
      </c>
    </row>
    <row r="46" spans="1:41" ht="31.5" x14ac:dyDescent="0.25">
      <c r="A46" s="7">
        <v>43</v>
      </c>
      <c r="B46" s="16" t="s">
        <v>89</v>
      </c>
      <c r="C46" s="17" t="s">
        <v>44</v>
      </c>
      <c r="D46" s="20"/>
      <c r="E46" s="20">
        <v>1305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11">
        <f t="shared" si="0"/>
        <v>1305</v>
      </c>
    </row>
  </sheetData>
  <mergeCells count="5">
    <mergeCell ref="A1:AO1"/>
    <mergeCell ref="A2:A3"/>
    <mergeCell ref="B2:B3"/>
    <mergeCell ref="C2:C3"/>
    <mergeCell ref="AO2:AO3"/>
  </mergeCells>
  <conditionalFormatting sqref="AO4:AO46">
    <cfRule type="duplicateValues" dxfId="19" priority="2"/>
  </conditionalFormatting>
  <conditionalFormatting sqref="AO4:AO39">
    <cfRule type="duplicateValues" dxfId="17" priority="3"/>
  </conditionalFormatting>
  <conditionalFormatting sqref="AO4:AO46">
    <cfRule type="duplicateValues" dxfId="15" priority="4"/>
  </conditionalFormatting>
  <conditionalFormatting sqref="AO4:AO46">
    <cfRule type="duplicateValues" dxfId="13" priority="5"/>
  </conditionalFormatting>
  <conditionalFormatting sqref="D2:AN2">
    <cfRule type="duplicateValues" dxfId="11" priority="1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Кайрат</dc:creator>
  <cp:lastModifiedBy>Кайрат</cp:lastModifiedBy>
  <dcterms:created xsi:type="dcterms:W3CDTF">2025-10-15T09:24:03Z</dcterms:created>
  <dcterms:modified xsi:type="dcterms:W3CDTF">2025-10-15T09:25:20Z</dcterms:modified>
</cp:coreProperties>
</file>